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10" windowHeight="11340" activeTab="0"/>
  </bookViews>
  <sheets>
    <sheet name="бизнес калькулятор" sheetId="1" r:id="rId1"/>
    <sheet name="продвинутая версия " sheetId="2" r:id="rId2"/>
  </sheets>
  <definedNames/>
  <calcPr fullCalcOnLoad="1"/>
</workbook>
</file>

<file path=xl/sharedStrings.xml><?xml version="1.0" encoding="utf-8"?>
<sst xmlns="http://schemas.openxmlformats.org/spreadsheetml/2006/main" count="130" uniqueCount="59">
  <si>
    <t>Итого</t>
  </si>
  <si>
    <t>Субпродукты</t>
  </si>
  <si>
    <t>Биогумус</t>
  </si>
  <si>
    <t>Мех(шкурка)</t>
  </si>
  <si>
    <t>Печень</t>
  </si>
  <si>
    <t>Мясо тушка</t>
  </si>
  <si>
    <t>в год</t>
  </si>
  <si>
    <t>в месяц</t>
  </si>
  <si>
    <t>Общая стоимость</t>
  </si>
  <si>
    <t>Стоимость единицы</t>
  </si>
  <si>
    <t>Количество</t>
  </si>
  <si>
    <t>Наменование</t>
  </si>
  <si>
    <t xml:space="preserve">Доходы фермерского хозяйства </t>
  </si>
  <si>
    <t>Непредвиденные расходы</t>
  </si>
  <si>
    <t>Горюче смазочные материалы</t>
  </si>
  <si>
    <t>Трудозатраты(человеко час)</t>
  </si>
  <si>
    <t>Элекроэнергия*</t>
  </si>
  <si>
    <t>Вода</t>
  </si>
  <si>
    <t>Сено(кг)</t>
  </si>
  <si>
    <t>Комбикорм(кг)</t>
  </si>
  <si>
    <t>Постоянные расходы</t>
  </si>
  <si>
    <t>Элекрификация</t>
  </si>
  <si>
    <t>Ограждение</t>
  </si>
  <si>
    <t>Стартовое племянное поголовье</t>
  </si>
  <si>
    <t>технические сооружения  S2</t>
  </si>
  <si>
    <t>площадь под минифермы S1</t>
  </si>
  <si>
    <t>Требуемая площадь (S1+S2)</t>
  </si>
  <si>
    <t>Стартовый пакет материалов</t>
  </si>
  <si>
    <t>Стоимость за единицу</t>
  </si>
  <si>
    <t xml:space="preserve">Наименование </t>
  </si>
  <si>
    <t>Инвестиции</t>
  </si>
  <si>
    <t>Желаемое количество миниферм (вставьте число)</t>
  </si>
  <si>
    <t>Племенное поголовье</t>
  </si>
  <si>
    <t>Эмиссия племенного поголовья</t>
  </si>
  <si>
    <t>Необходимые инвестиции</t>
  </si>
  <si>
    <t>сроки окупаемости</t>
  </si>
  <si>
    <t>доходы фермерского хозяйства (в год)</t>
  </si>
  <si>
    <t>Текущие расходы (в месяц)</t>
  </si>
  <si>
    <t>чистая прибыль (в месяц)</t>
  </si>
  <si>
    <t>месяцев</t>
  </si>
  <si>
    <t>доходы фермерского хозяйства (месяц)</t>
  </si>
  <si>
    <t xml:space="preserve">Вас приветствует Бизнес калькулятор </t>
  </si>
  <si>
    <t>Миакро</t>
  </si>
  <si>
    <t>!!!Версия калькулятора с возможностью изменять несколько параметров на следующем листе книги!!!</t>
  </si>
  <si>
    <r>
      <t>желтым</t>
    </r>
    <r>
      <rPr>
        <sz val="16"/>
        <color indexed="13"/>
        <rFont val="Arial Cyr"/>
        <family val="0"/>
      </rPr>
      <t xml:space="preserve"> цветом подсвечены те ячейки значения которых может быть измененно</t>
    </r>
  </si>
  <si>
    <t>площадь в м²</t>
  </si>
  <si>
    <t>длинна в м</t>
  </si>
  <si>
    <t>Комбикорм</t>
  </si>
  <si>
    <t>Сено</t>
  </si>
  <si>
    <t>Комбикорм в кг</t>
  </si>
  <si>
    <t>Сено в кг</t>
  </si>
  <si>
    <t>Вода в л</t>
  </si>
  <si>
    <t>Трудозатраты</t>
  </si>
  <si>
    <t>в Кв/ч</t>
  </si>
  <si>
    <t>в человеко/час</t>
  </si>
  <si>
    <t>в кг</t>
  </si>
  <si>
    <t>в шт</t>
  </si>
  <si>
    <t>Нужно вместо 300 вставить число миниферм</t>
  </si>
  <si>
    <t>Миниферма (стоимость материалов)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</si>
</sst>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  <numFmt numFmtId="165" formatCode="#,##0&quot;р.&quot;"/>
    <numFmt numFmtId="166" formatCode="0.0"/>
    <numFmt numFmtId="167" formatCode="#,##0.0_р_."/>
    <numFmt numFmtId="168" formatCode="#,##0.0&quot;р.&quot;"/>
    <numFmt numFmtId="169" formatCode="[$-FC19]d\ mmmm\ yyyy\ &quot;г.&quot;"/>
  </numFmts>
  <fonts count="19">
    <font>
      <sz val="10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sz val="16"/>
      <color indexed="10"/>
      <name val="Arial Black"/>
      <family val="2"/>
    </font>
    <font>
      <b/>
      <sz val="12"/>
      <name val="Arial Cyr"/>
      <family val="0"/>
    </font>
    <font>
      <sz val="62"/>
      <color indexed="10"/>
      <name val="Arial Black"/>
      <family val="2"/>
    </font>
    <font>
      <sz val="16"/>
      <color indexed="10"/>
      <name val="Arial Cyr"/>
      <family val="0"/>
    </font>
    <font>
      <sz val="16"/>
      <name val="Arial Cyr"/>
      <family val="0"/>
    </font>
    <font>
      <sz val="18"/>
      <color indexed="10"/>
      <name val="Arial Cyr"/>
      <family val="0"/>
    </font>
    <font>
      <sz val="24"/>
      <color indexed="13"/>
      <name val="Arial Cyr"/>
      <family val="0"/>
    </font>
    <font>
      <sz val="16"/>
      <color indexed="13"/>
      <name val="Arial Cyr"/>
      <family val="0"/>
    </font>
    <font>
      <sz val="10"/>
      <color indexed="13"/>
      <name val="Arial Cyr"/>
      <family val="0"/>
    </font>
    <font>
      <b/>
      <sz val="11.25"/>
      <name val="Arial Cyr"/>
      <family val="0"/>
    </font>
    <font>
      <sz val="10"/>
      <color indexed="55"/>
      <name val="Arial Cyr"/>
      <family val="0"/>
    </font>
    <font>
      <sz val="11.25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shrinkToFit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165" fontId="0" fillId="3" borderId="6" xfId="0" applyNumberForma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165" fontId="0" fillId="3" borderId="8" xfId="0" applyNumberFormat="1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165" fontId="0" fillId="3" borderId="1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166" fontId="6" fillId="4" borderId="13" xfId="0" applyNumberFormat="1" applyFont="1" applyFill="1" applyBorder="1" applyAlignment="1" applyProtection="1">
      <alignment horizontal="center"/>
      <protection hidden="1"/>
    </xf>
    <xf numFmtId="0" fontId="6" fillId="4" borderId="14" xfId="0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right" vertical="center" shrinkToFit="1"/>
      <protection hidden="1"/>
    </xf>
    <xf numFmtId="165" fontId="1" fillId="0" borderId="19" xfId="0" applyNumberFormat="1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1" fillId="0" borderId="16" xfId="0" applyFont="1" applyFill="1" applyBorder="1" applyAlignment="1" applyProtection="1">
      <alignment horizontal="right" vertical="center" shrinkToFit="1"/>
      <protection hidden="1"/>
    </xf>
    <xf numFmtId="165" fontId="1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0" xfId="0" applyFont="1" applyFill="1" applyBorder="1" applyAlignment="1" applyProtection="1">
      <alignment horizontal="right" vertical="center" shrinkToFit="1"/>
      <protection hidden="1"/>
    </xf>
    <xf numFmtId="165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0" fontId="1" fillId="0" borderId="22" xfId="0" applyFont="1" applyFill="1" applyBorder="1" applyAlignment="1" applyProtection="1">
      <alignment horizontal="right" vertical="center" shrinkToFit="1"/>
      <protection hidden="1"/>
    </xf>
    <xf numFmtId="165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18" xfId="0" applyFont="1" applyFill="1" applyBorder="1" applyAlignment="1" applyProtection="1">
      <alignment horizontal="right" vertical="center" shrinkToFit="1"/>
      <protection hidden="1"/>
    </xf>
    <xf numFmtId="165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2" fillId="5" borderId="24" xfId="0" applyFont="1" applyFill="1" applyBorder="1" applyAlignment="1" applyProtection="1">
      <alignment horizontal="left" vertical="center" shrinkToFit="1"/>
      <protection hidden="1"/>
    </xf>
    <xf numFmtId="0" fontId="1" fillId="5" borderId="25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164" fontId="4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lef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168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26" xfId="0" applyNumberFormat="1" applyFont="1" applyBorder="1" applyAlignment="1" applyProtection="1">
      <alignment horizontal="right" vertical="center" shrinkToFit="1"/>
      <protection hidden="1"/>
    </xf>
    <xf numFmtId="2" fontId="0" fillId="0" borderId="13" xfId="0" applyNumberFormat="1" applyBorder="1" applyAlignment="1" applyProtection="1">
      <alignment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28" xfId="0" applyFont="1" applyBorder="1" applyAlignment="1" applyProtection="1">
      <alignment horizontal="right" vertical="center" shrinkToFit="1"/>
      <protection hidden="1"/>
    </xf>
    <xf numFmtId="0" fontId="1" fillId="0" borderId="29" xfId="0" applyFont="1" applyBorder="1" applyAlignment="1" applyProtection="1">
      <alignment horizontal="right" vertical="center" shrinkToFit="1"/>
      <protection hidden="1"/>
    </xf>
    <xf numFmtId="168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30" xfId="0" applyNumberFormat="1" applyFont="1" applyBorder="1" applyAlignment="1" applyProtection="1">
      <alignment horizontal="right" vertical="center" shrinkToFit="1"/>
      <protection hidden="1"/>
    </xf>
    <xf numFmtId="165" fontId="3" fillId="6" borderId="13" xfId="0" applyNumberFormat="1" applyFont="1" applyFill="1" applyBorder="1" applyAlignment="1" applyProtection="1">
      <alignment horizontal="center" vertical="center" shrinkToFit="1"/>
      <protection hidden="1"/>
    </xf>
    <xf numFmtId="165" fontId="3" fillId="5" borderId="2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left" vertical="center" shrinkToFit="1"/>
      <protection hidden="1"/>
    </xf>
    <xf numFmtId="165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13" xfId="0" applyNumberFormat="1" applyFont="1" applyBorder="1" applyAlignment="1" applyProtection="1">
      <alignment horizontal="right" vertical="center" shrinkToFit="1"/>
      <protection hidden="1"/>
    </xf>
    <xf numFmtId="0" fontId="1" fillId="0" borderId="28" xfId="0" applyFont="1" applyBorder="1" applyAlignment="1" applyProtection="1">
      <alignment horizontal="left" vertical="center" shrinkToFit="1"/>
      <protection hidden="1"/>
    </xf>
    <xf numFmtId="165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28" xfId="0" applyNumberFormat="1" applyFont="1" applyBorder="1" applyAlignment="1" applyProtection="1">
      <alignment horizontal="right" vertical="center" shrinkToFit="1"/>
      <protection hidden="1"/>
    </xf>
    <xf numFmtId="0" fontId="1" fillId="0" borderId="29" xfId="0" applyFont="1" applyBorder="1" applyAlignment="1" applyProtection="1">
      <alignment horizontal="left" vertical="center" shrinkToFit="1"/>
      <protection hidden="1"/>
    </xf>
    <xf numFmtId="165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29" xfId="0" applyNumberFormat="1" applyFont="1" applyBorder="1" applyAlignment="1" applyProtection="1">
      <alignment horizontal="right" vertical="center" shrinkToFit="1"/>
      <protection hidden="1"/>
    </xf>
    <xf numFmtId="0" fontId="2" fillId="5" borderId="12" xfId="0" applyFont="1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 shrinkToFit="1"/>
      <protection hidden="1"/>
    </xf>
    <xf numFmtId="165" fontId="2" fillId="6" borderId="13" xfId="0" applyNumberFormat="1" applyFont="1" applyFill="1" applyBorder="1" applyAlignment="1" applyProtection="1">
      <alignment horizontal="center" vertical="center" shrinkToFit="1"/>
      <protection hidden="1"/>
    </xf>
    <xf numFmtId="165" fontId="2" fillId="5" borderId="2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7" fillId="2" borderId="0" xfId="0" applyNumberFormat="1" applyFont="1" applyFill="1" applyAlignment="1">
      <alignment/>
    </xf>
    <xf numFmtId="0" fontId="17" fillId="2" borderId="0" xfId="0" applyNumberFormat="1" applyFont="1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15" fillId="2" borderId="0" xfId="0" applyFont="1" applyFill="1" applyAlignment="1">
      <alignment/>
    </xf>
    <xf numFmtId="168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68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1" fillId="7" borderId="16" xfId="0" applyFont="1" applyFill="1" applyBorder="1" applyAlignment="1" applyProtection="1">
      <alignment horizontal="right" vertical="center" shrinkToFit="1"/>
      <protection locked="0"/>
    </xf>
    <xf numFmtId="165" fontId="1" fillId="7" borderId="17" xfId="0" applyNumberFormat="1" applyFont="1" applyFill="1" applyBorder="1" applyAlignment="1" applyProtection="1">
      <alignment horizontal="right" vertical="center" shrinkToFit="1"/>
      <protection locked="0"/>
    </xf>
    <xf numFmtId="168" fontId="1" fillId="7" borderId="21" xfId="0" applyNumberFormat="1" applyFont="1" applyFill="1" applyBorder="1" applyAlignment="1" applyProtection="1">
      <alignment horizontal="right" vertical="center" shrinkToFit="1"/>
      <protection locked="0"/>
    </xf>
    <xf numFmtId="168" fontId="1" fillId="7" borderId="13" xfId="0" applyNumberFormat="1" applyFont="1" applyFill="1" applyBorder="1" applyAlignment="1" applyProtection="1">
      <alignment horizontal="right" vertical="center" shrinkToFit="1"/>
      <protection locked="0"/>
    </xf>
    <xf numFmtId="165" fontId="1" fillId="7" borderId="26" xfId="0" applyNumberFormat="1" applyFont="1" applyFill="1" applyBorder="1" applyAlignment="1" applyProtection="1">
      <alignment horizontal="right" vertical="center" shrinkToFit="1"/>
      <protection locked="0"/>
    </xf>
    <xf numFmtId="165" fontId="1" fillId="7" borderId="30" xfId="0" applyNumberFormat="1" applyFont="1" applyFill="1" applyBorder="1" applyAlignment="1" applyProtection="1">
      <alignment horizontal="right" vertical="center" shrinkToFit="1"/>
      <protection locked="0"/>
    </xf>
    <xf numFmtId="165" fontId="1" fillId="7" borderId="14" xfId="0" applyNumberFormat="1" applyFont="1" applyFill="1" applyBorder="1" applyAlignment="1" applyProtection="1">
      <alignment horizontal="right" vertical="center" shrinkToFit="1"/>
      <protection locked="0"/>
    </xf>
    <xf numFmtId="165" fontId="1" fillId="7" borderId="13" xfId="0" applyNumberFormat="1" applyFont="1" applyFill="1" applyBorder="1" applyAlignment="1" applyProtection="1">
      <alignment horizontal="right" vertical="center" shrinkToFit="1"/>
      <protection locked="0"/>
    </xf>
    <xf numFmtId="165" fontId="1" fillId="7" borderId="28" xfId="0" applyNumberFormat="1" applyFont="1" applyFill="1" applyBorder="1" applyAlignment="1" applyProtection="1">
      <alignment horizontal="right" vertical="center" shrinkToFit="1"/>
      <protection locked="0"/>
    </xf>
    <xf numFmtId="165" fontId="1" fillId="7" borderId="29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25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3" borderId="24" xfId="0" applyFont="1" applyFill="1" applyBorder="1" applyAlignment="1" applyProtection="1">
      <alignment horizontal="center" vertical="center" shrinkToFit="1"/>
      <protection hidden="1"/>
    </xf>
    <xf numFmtId="0" fontId="2" fillId="3" borderId="25" xfId="0" applyFont="1" applyFill="1" applyBorder="1" applyAlignment="1" applyProtection="1">
      <alignment horizontal="center" vertical="center" shrinkToFit="1"/>
      <protection hidden="1"/>
    </xf>
    <xf numFmtId="0" fontId="2" fillId="3" borderId="26" xfId="0" applyFont="1" applyFill="1" applyBorder="1" applyAlignment="1" applyProtection="1">
      <alignment horizontal="center" vertical="center" shrinkToFit="1"/>
      <protection hidden="1"/>
    </xf>
    <xf numFmtId="0" fontId="12" fillId="3" borderId="32" xfId="0" applyFont="1" applyFill="1" applyBorder="1" applyAlignment="1" applyProtection="1">
      <alignment horizontal="center" vertical="center"/>
      <protection hidden="1"/>
    </xf>
    <xf numFmtId="0" fontId="12" fillId="3" borderId="33" xfId="0" applyFont="1" applyFill="1" applyBorder="1" applyAlignment="1" applyProtection="1">
      <alignment horizontal="center" vertical="center"/>
      <protection hidden="1"/>
    </xf>
    <xf numFmtId="0" fontId="12" fillId="3" borderId="34" xfId="0" applyFont="1" applyFill="1" applyBorder="1" applyAlignment="1" applyProtection="1">
      <alignment horizontal="center" vertical="center"/>
      <protection hidden="1"/>
    </xf>
    <xf numFmtId="164" fontId="4" fillId="0" borderId="35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36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37" xfId="0" applyNumberFormat="1" applyFont="1" applyFill="1" applyBorder="1" applyAlignment="1" applyProtection="1">
      <alignment horizontal="right" vertical="center" shrinkToFit="1"/>
      <protection hidden="1"/>
    </xf>
    <xf numFmtId="164" fontId="2" fillId="5" borderId="25" xfId="0" applyNumberFormat="1" applyFont="1" applyFill="1" applyBorder="1" applyAlignment="1" applyProtection="1">
      <alignment horizontal="right" vertical="center" shrinkToFit="1"/>
      <protection hidden="1"/>
    </xf>
    <xf numFmtId="164" fontId="2" fillId="5" borderId="26" xfId="0" applyNumberFormat="1" applyFont="1" applyFill="1" applyBorder="1" applyAlignment="1" applyProtection="1">
      <alignment horizontal="right" vertical="center" shrinkToFit="1"/>
      <protection hidden="1"/>
    </xf>
    <xf numFmtId="0" fontId="2" fillId="8" borderId="24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39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0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1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2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44" xfId="0" applyFont="1" applyBorder="1" applyAlignment="1" applyProtection="1">
      <alignment horizontal="center" vertical="center" shrinkToFit="1"/>
      <protection hidden="1"/>
    </xf>
    <xf numFmtId="0" fontId="2" fillId="0" borderId="45" xfId="0" applyFont="1" applyBorder="1" applyAlignment="1" applyProtection="1">
      <alignment horizontal="center" vertical="center" shrinkToFit="1"/>
      <protection hidden="1"/>
    </xf>
    <xf numFmtId="0" fontId="2" fillId="0" borderId="46" xfId="0" applyFont="1" applyBorder="1" applyAlignment="1" applyProtection="1">
      <alignment horizontal="center" vertical="center" shrinkToFit="1"/>
      <protection hidden="1"/>
    </xf>
    <xf numFmtId="164" fontId="4" fillId="0" borderId="35" xfId="0" applyNumberFormat="1" applyFont="1" applyBorder="1" applyAlignment="1" applyProtection="1">
      <alignment horizontal="right" vertical="center" shrinkToFit="1"/>
      <protection hidden="1"/>
    </xf>
    <xf numFmtId="164" fontId="4" fillId="0" borderId="36" xfId="0" applyNumberFormat="1" applyFont="1" applyBorder="1" applyAlignment="1" applyProtection="1">
      <alignment horizontal="right" vertical="center" shrinkToFit="1"/>
      <protection hidden="1"/>
    </xf>
    <xf numFmtId="164" fontId="4" fillId="0" borderId="37" xfId="0" applyNumberFormat="1" applyFont="1" applyBorder="1" applyAlignment="1" applyProtection="1">
      <alignment horizontal="right" vertical="center" shrinkToFit="1"/>
      <protection hidden="1"/>
    </xf>
    <xf numFmtId="164" fontId="4" fillId="0" borderId="44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6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7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8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49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50" xfId="0" applyFont="1" applyBorder="1" applyAlignment="1" applyProtection="1">
      <alignment horizontal="center" vertical="center" wrapText="1" shrinkToFit="1"/>
      <protection hidden="1"/>
    </xf>
    <xf numFmtId="0" fontId="2" fillId="0" borderId="29" xfId="0" applyFont="1" applyBorder="1" applyAlignment="1" applyProtection="1">
      <alignment horizontal="center" vertical="center" wrapText="1" shrinkToFit="1"/>
      <protection hidden="1"/>
    </xf>
    <xf numFmtId="0" fontId="10" fillId="2" borderId="0" xfId="0" applyFont="1" applyFill="1" applyAlignment="1" applyProtection="1">
      <alignment horizontal="center" shrinkToFit="1"/>
      <protection hidden="1"/>
    </xf>
    <xf numFmtId="0" fontId="11" fillId="2" borderId="0" xfId="0" applyFont="1" applyFill="1" applyAlignment="1" applyProtection="1">
      <alignment horizontal="center" shrinkToFi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51" xfId="0" applyFont="1" applyBorder="1" applyAlignment="1" applyProtection="1">
      <alignment horizontal="center" vertical="center" shrinkToFit="1"/>
      <protection hidden="1"/>
    </xf>
    <xf numFmtId="164" fontId="4" fillId="7" borderId="35" xfId="0" applyNumberFormat="1" applyFont="1" applyFill="1" applyBorder="1" applyAlignment="1" applyProtection="1">
      <alignment horizontal="right" vertical="center" shrinkToFit="1"/>
      <protection locked="0"/>
    </xf>
    <xf numFmtId="164" fontId="4" fillId="7" borderId="36" xfId="0" applyNumberFormat="1" applyFont="1" applyFill="1" applyBorder="1" applyAlignment="1" applyProtection="1">
      <alignment horizontal="right" vertical="center" shrinkToFit="1"/>
      <protection locked="0"/>
    </xf>
    <xf numFmtId="164" fontId="4" fillId="7" borderId="37" xfId="0" applyNumberFormat="1" applyFont="1" applyFill="1" applyBorder="1" applyAlignment="1" applyProtection="1">
      <alignment horizontal="right" vertical="center" shrinkToFit="1"/>
      <protection locked="0"/>
    </xf>
    <xf numFmtId="0" fontId="13" fillId="2" borderId="52" xfId="0" applyFont="1" applyFill="1" applyBorder="1" applyAlignment="1" applyProtection="1">
      <alignment horizontal="center" vertical="center"/>
      <protection hidden="1"/>
    </xf>
    <xf numFmtId="0" fontId="15" fillId="2" borderId="53" xfId="0" applyFont="1" applyFill="1" applyBorder="1" applyAlignment="1" applyProtection="1">
      <alignment horizontal="center" vertical="center"/>
      <protection hidden="1"/>
    </xf>
    <xf numFmtId="0" fontId="15" fillId="2" borderId="54" xfId="0" applyFont="1" applyFill="1" applyBorder="1" applyAlignment="1" applyProtection="1">
      <alignment horizontal="center" vertical="center"/>
      <protection hidden="1"/>
    </xf>
    <xf numFmtId="0" fontId="15" fillId="2" borderId="55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56" xfId="0" applyFont="1" applyFill="1" applyBorder="1" applyAlignment="1" applyProtection="1">
      <alignment horizontal="center" vertical="center"/>
      <protection hidden="1"/>
    </xf>
    <xf numFmtId="0" fontId="15" fillId="2" borderId="57" xfId="0" applyFont="1" applyFill="1" applyBorder="1" applyAlignment="1" applyProtection="1">
      <alignment horizontal="center" vertical="center"/>
      <protection hidden="1"/>
    </xf>
    <xf numFmtId="0" fontId="15" fillId="2" borderId="58" xfId="0" applyFont="1" applyFill="1" applyBorder="1" applyAlignment="1" applyProtection="1">
      <alignment horizontal="center" vertical="center"/>
      <protection hidden="1"/>
    </xf>
    <xf numFmtId="0" fontId="15" fillId="2" borderId="59" xfId="0" applyFont="1" applyFill="1" applyBorder="1" applyAlignment="1" applyProtection="1">
      <alignment horizontal="center" vertical="center"/>
      <protection hidden="1"/>
    </xf>
    <xf numFmtId="0" fontId="2" fillId="8" borderId="26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Окупаемости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месяцы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'бизнес калькулятор'!$AA$44:$AX$44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окупаемость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'бизнес калькулятор'!$AA$45:$AX$45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184651"/>
        <c:axId val="11086432"/>
      </c:lineChart>
      <c:catAx>
        <c:axId val="2218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86432"/>
        <c:crosses val="autoZero"/>
        <c:auto val="1"/>
        <c:lblOffset val="100"/>
        <c:noMultiLvlLbl val="0"/>
      </c:catAx>
      <c:valAx>
        <c:axId val="1108643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18465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окупаемости</a:t>
            </a:r>
          </a:p>
        </c:rich>
      </c:tx>
      <c:layout>
        <c:manualLayout>
          <c:xMode val="factor"/>
          <c:yMode val="factor"/>
          <c:x val="-0.002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725"/>
          <c:w val="0.831"/>
          <c:h val="0.7775"/>
        </c:manualLayout>
      </c:layout>
      <c:lineChart>
        <c:grouping val="standard"/>
        <c:varyColors val="0"/>
        <c:ser>
          <c:idx val="0"/>
          <c:order val="0"/>
          <c:tx>
            <c:v>месяцы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'продвинутая версия '!$B$49:$Y$49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окупаемость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'продвинутая версия '!$B$50:$Y$50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183713"/>
        <c:axId val="47771038"/>
      </c:lineChart>
      <c:catAx>
        <c:axId val="518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71038"/>
        <c:crosses val="autoZero"/>
        <c:auto val="1"/>
        <c:lblOffset val="100"/>
        <c:noMultiLvlLbl val="0"/>
      </c:catAx>
      <c:valAx>
        <c:axId val="4777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371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0</xdr:row>
      <xdr:rowOff>57150</xdr:rowOff>
    </xdr:from>
    <xdr:to>
      <xdr:col>6</xdr:col>
      <xdr:colOff>771525</xdr:colOff>
      <xdr:row>3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5715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6</xdr:col>
      <xdr:colOff>1323975</xdr:colOff>
      <xdr:row>64</xdr:row>
      <xdr:rowOff>57150</xdr:rowOff>
    </xdr:to>
    <xdr:graphicFrame>
      <xdr:nvGraphicFramePr>
        <xdr:cNvPr id="2" name="Chart 1"/>
        <xdr:cNvGraphicFramePr/>
      </xdr:nvGraphicFramePr>
      <xdr:xfrm>
        <a:off x="371475" y="9496425"/>
        <a:ext cx="10210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1704975</xdr:colOff>
      <xdr:row>3</xdr:row>
      <xdr:rowOff>800100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9050"/>
          <a:ext cx="1695450" cy="1266825"/>
        </a:xfrm>
        <a:prstGeom prst="rect">
          <a:avLst/>
        </a:prstGeom>
        <a:solidFill>
          <a:srgbClr val="969696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47</xdr:row>
      <xdr:rowOff>152400</xdr:rowOff>
    </xdr:from>
    <xdr:to>
      <xdr:col>6</xdr:col>
      <xdr:colOff>971550</xdr:colOff>
      <xdr:row>64</xdr:row>
      <xdr:rowOff>152400</xdr:rowOff>
    </xdr:to>
    <xdr:graphicFrame>
      <xdr:nvGraphicFramePr>
        <xdr:cNvPr id="1" name="Chart 5"/>
        <xdr:cNvGraphicFramePr/>
      </xdr:nvGraphicFramePr>
      <xdr:xfrm>
        <a:off x="428625" y="9039225"/>
        <a:ext cx="9877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4.875" style="0" customWidth="1"/>
    <col min="2" max="2" width="27.625" style="0" customWidth="1"/>
    <col min="3" max="3" width="19.75390625" style="0" customWidth="1"/>
    <col min="4" max="4" width="31.25390625" style="0" customWidth="1"/>
    <col min="5" max="5" width="19.125" style="0" customWidth="1"/>
    <col min="6" max="6" width="18.875" style="0" customWidth="1"/>
    <col min="7" max="7" width="17.625" style="0" customWidth="1"/>
    <col min="8" max="8" width="13.00390625" style="0" customWidth="1"/>
    <col min="9" max="9" width="15.25390625" style="0" customWidth="1"/>
    <col min="10" max="10" width="14.375" style="0" customWidth="1"/>
    <col min="11" max="11" width="17.625" style="0" customWidth="1"/>
    <col min="12" max="12" width="15.25390625" style="0" customWidth="1"/>
    <col min="13" max="14" width="12.875" style="0" customWidth="1"/>
    <col min="15" max="15" width="11.625" style="0" customWidth="1"/>
    <col min="16" max="16" width="12.25390625" style="0" customWidth="1"/>
    <col min="21" max="21" width="10.75390625" style="0" customWidth="1"/>
    <col min="22" max="22" width="11.125" style="0" customWidth="1"/>
    <col min="23" max="23" width="10.875" style="0" customWidth="1"/>
    <col min="24" max="24" width="10.625" style="0" customWidth="1"/>
    <col min="25" max="25" width="10.125" style="0" customWidth="1"/>
    <col min="26" max="26" width="11.25390625" style="0" customWidth="1"/>
  </cols>
  <sheetData>
    <row r="1" spans="2:7" s="1" customFormat="1" ht="12.75">
      <c r="B1" s="138"/>
      <c r="C1" s="135" t="s">
        <v>41</v>
      </c>
      <c r="D1" s="135"/>
      <c r="E1" s="135"/>
      <c r="F1" s="135"/>
      <c r="G1" s="138"/>
    </row>
    <row r="2" spans="2:7" s="1" customFormat="1" ht="12.75">
      <c r="B2" s="138"/>
      <c r="C2" s="135"/>
      <c r="D2" s="135"/>
      <c r="E2" s="135"/>
      <c r="F2" s="135"/>
      <c r="G2" s="138"/>
    </row>
    <row r="3" spans="2:7" s="1" customFormat="1" ht="12.75">
      <c r="B3" s="138"/>
      <c r="C3" s="136" t="s">
        <v>42</v>
      </c>
      <c r="D3" s="136"/>
      <c r="E3" s="136"/>
      <c r="F3" s="136"/>
      <c r="G3" s="138"/>
    </row>
    <row r="4" spans="2:7" s="1" customFormat="1" ht="63.75" customHeight="1" thickBot="1">
      <c r="B4" s="139"/>
      <c r="C4" s="137"/>
      <c r="D4" s="137"/>
      <c r="E4" s="136"/>
      <c r="F4" s="136"/>
      <c r="G4" s="140"/>
    </row>
    <row r="5" spans="1:16" ht="24.75" thickBot="1" thickTop="1">
      <c r="A5" s="1"/>
      <c r="B5" s="106" t="s">
        <v>31</v>
      </c>
      <c r="C5" s="91"/>
      <c r="D5" s="91"/>
      <c r="E5" s="98">
        <v>300</v>
      </c>
      <c r="F5" s="99"/>
      <c r="G5" s="100"/>
      <c r="H5" s="78" t="s">
        <v>57</v>
      </c>
      <c r="I5" s="78"/>
      <c r="J5" s="78"/>
      <c r="K5" s="1"/>
      <c r="L5" s="1"/>
      <c r="M5" s="1"/>
      <c r="N5" s="1"/>
      <c r="O5" s="1"/>
      <c r="P5" s="1"/>
    </row>
    <row r="6" spans="1:16" ht="13.5" thickBot="1">
      <c r="A6" s="1"/>
      <c r="B6" s="4"/>
      <c r="C6" s="4"/>
      <c r="D6" s="4"/>
      <c r="E6" s="74"/>
      <c r="F6" s="74"/>
      <c r="G6" s="74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5" t="s">
        <v>34</v>
      </c>
      <c r="C7" s="6">
        <f>E21</f>
        <v>3778200</v>
      </c>
      <c r="D7" s="133"/>
      <c r="E7" s="7" t="s">
        <v>36</v>
      </c>
      <c r="F7" s="8"/>
      <c r="G7" s="9">
        <f>F45</f>
        <v>673200</v>
      </c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0" t="s">
        <v>37</v>
      </c>
      <c r="C8" s="11">
        <f>F34</f>
        <v>290400</v>
      </c>
      <c r="D8" s="134"/>
      <c r="E8" s="12" t="s">
        <v>38</v>
      </c>
      <c r="F8" s="13"/>
      <c r="G8" s="14">
        <f>G7*0.94-C8</f>
        <v>342408</v>
      </c>
      <c r="H8" s="1"/>
      <c r="I8" s="1"/>
      <c r="J8" s="1"/>
      <c r="K8" s="1"/>
      <c r="L8" s="1"/>
      <c r="M8" s="1"/>
      <c r="N8" s="1"/>
      <c r="O8" s="1"/>
      <c r="P8" s="1"/>
    </row>
    <row r="9" spans="1:16" ht="13.5" thickBot="1">
      <c r="A9" s="1"/>
      <c r="B9" s="15"/>
      <c r="C9" s="16" t="s">
        <v>35</v>
      </c>
      <c r="D9" s="17">
        <f>(C7+7*C8)/(G8)</f>
        <v>16.970981986402187</v>
      </c>
      <c r="E9" s="18" t="s">
        <v>39</v>
      </c>
      <c r="F9" s="15"/>
      <c r="G9" s="15"/>
      <c r="H9" s="1"/>
      <c r="I9" s="1"/>
      <c r="J9" s="1"/>
      <c r="K9" s="1"/>
      <c r="L9" s="1"/>
      <c r="M9" s="1"/>
      <c r="N9" s="1"/>
      <c r="O9" s="1"/>
      <c r="P9" s="1"/>
    </row>
    <row r="10" spans="1:16" ht="13.5" thickBot="1">
      <c r="A10" s="1"/>
      <c r="B10" s="15"/>
      <c r="C10" s="15"/>
      <c r="D10" s="15"/>
      <c r="E10" s="15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</row>
    <row r="11" spans="1:16" ht="18.75" thickBot="1">
      <c r="A11" s="1"/>
      <c r="B11" s="92" t="s">
        <v>30</v>
      </c>
      <c r="C11" s="107"/>
      <c r="D11" s="107"/>
      <c r="E11" s="107"/>
      <c r="F11" s="107"/>
      <c r="G11" s="108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thickBot="1">
      <c r="A12" s="1"/>
      <c r="B12" s="19" t="s">
        <v>29</v>
      </c>
      <c r="C12" s="20" t="s">
        <v>10</v>
      </c>
      <c r="D12" s="21" t="s">
        <v>28</v>
      </c>
      <c r="E12" s="115" t="s">
        <v>8</v>
      </c>
      <c r="F12" s="116"/>
      <c r="G12" s="117"/>
      <c r="H12" s="1"/>
      <c r="I12" s="1"/>
      <c r="J12" s="1"/>
      <c r="K12" s="1"/>
      <c r="L12" s="1"/>
      <c r="M12" s="1"/>
      <c r="N12" s="1"/>
      <c r="O12" s="1"/>
      <c r="P12" s="1"/>
    </row>
    <row r="13" spans="1:16" ht="13.5" thickBot="1">
      <c r="A13" s="1"/>
      <c r="B13" s="22" t="s">
        <v>27</v>
      </c>
      <c r="C13" s="23">
        <v>1</v>
      </c>
      <c r="D13" s="24">
        <v>9000</v>
      </c>
      <c r="E13" s="118">
        <v>9000</v>
      </c>
      <c r="F13" s="119"/>
      <c r="G13" s="120"/>
      <c r="H13" s="1"/>
      <c r="I13" s="1"/>
      <c r="J13" s="1"/>
      <c r="K13" s="1"/>
      <c r="L13" s="1"/>
      <c r="M13" s="1"/>
      <c r="N13" s="1"/>
      <c r="O13" s="1"/>
      <c r="P13" s="1"/>
    </row>
    <row r="14" spans="1:16" ht="13.5" thickBot="1">
      <c r="A14" s="1"/>
      <c r="B14" s="25" t="s">
        <v>58</v>
      </c>
      <c r="C14" s="26">
        <f>E5</f>
        <v>300</v>
      </c>
      <c r="D14" s="27">
        <v>8000</v>
      </c>
      <c r="E14" s="121">
        <f>PRODUCT(C14,D14)</f>
        <v>2400000</v>
      </c>
      <c r="F14" s="122"/>
      <c r="G14" s="123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28" t="s">
        <v>26</v>
      </c>
      <c r="C15" s="29">
        <f>SUM(C16,C17)</f>
        <v>3120</v>
      </c>
      <c r="D15" s="30">
        <v>100</v>
      </c>
      <c r="E15" s="124">
        <f>SUM(E16,E17)</f>
        <v>312000</v>
      </c>
      <c r="F15" s="125"/>
      <c r="G15" s="126"/>
      <c r="H15" s="78" t="s">
        <v>45</v>
      </c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31" t="s">
        <v>25</v>
      </c>
      <c r="C16" s="32">
        <f>PRODUCT(C14,8)</f>
        <v>2400</v>
      </c>
      <c r="D16" s="33">
        <f>D15</f>
        <v>100</v>
      </c>
      <c r="E16" s="109">
        <f>PRODUCT(D15,C16)</f>
        <v>240000</v>
      </c>
      <c r="F16" s="110"/>
      <c r="G16" s="111"/>
      <c r="H16" s="78" t="s">
        <v>45</v>
      </c>
      <c r="I16" s="1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22" t="s">
        <v>24</v>
      </c>
      <c r="C17" s="34">
        <f>CEILING(PRODUCT(C16,0.3),10)</f>
        <v>720</v>
      </c>
      <c r="D17" s="35">
        <f>D15</f>
        <v>100</v>
      </c>
      <c r="E17" s="112">
        <f>PRODUCT(D15,C17)</f>
        <v>72000</v>
      </c>
      <c r="F17" s="113"/>
      <c r="G17" s="114"/>
      <c r="H17" s="78" t="s">
        <v>45</v>
      </c>
      <c r="I17" s="1"/>
      <c r="J17" s="1"/>
      <c r="K17" s="1"/>
      <c r="L17" s="1"/>
      <c r="M17" s="1"/>
      <c r="N17" s="1"/>
      <c r="O17" s="1"/>
      <c r="P17" s="1"/>
    </row>
    <row r="18" spans="1:16" ht="13.5" thickBot="1">
      <c r="A18" s="1"/>
      <c r="B18" s="25" t="s">
        <v>23</v>
      </c>
      <c r="C18" s="26">
        <f>INT(C14)</f>
        <v>300</v>
      </c>
      <c r="D18" s="27">
        <v>3000</v>
      </c>
      <c r="E18" s="121">
        <f>PRODUCT(C18,D18)</f>
        <v>900000</v>
      </c>
      <c r="F18" s="122"/>
      <c r="G18" s="123"/>
      <c r="H18" s="1"/>
      <c r="I18" s="1"/>
      <c r="J18" s="1"/>
      <c r="K18" s="1"/>
      <c r="L18" s="1"/>
      <c r="M18" s="1"/>
      <c r="N18" s="1"/>
      <c r="O18" s="1"/>
      <c r="P18" s="1"/>
    </row>
    <row r="19" spans="1:16" ht="13.5" thickBot="1">
      <c r="A19" s="1"/>
      <c r="B19" s="25" t="s">
        <v>22</v>
      </c>
      <c r="C19" s="26">
        <f>CEILING(4*SQRT(C15),1)</f>
        <v>224</v>
      </c>
      <c r="D19" s="27">
        <v>300</v>
      </c>
      <c r="E19" s="121">
        <f>PRODUCT(C19,D19)</f>
        <v>67200</v>
      </c>
      <c r="F19" s="122"/>
      <c r="G19" s="123"/>
      <c r="H19" s="78" t="s">
        <v>46</v>
      </c>
      <c r="I19" s="78"/>
      <c r="J19" s="1"/>
      <c r="K19" s="1"/>
      <c r="L19" s="1"/>
      <c r="M19" s="1"/>
      <c r="N19" s="1"/>
      <c r="O19" s="1"/>
      <c r="P19" s="1"/>
    </row>
    <row r="20" spans="1:16" ht="13.5" thickBot="1">
      <c r="A20" s="1"/>
      <c r="B20" s="28" t="s">
        <v>21</v>
      </c>
      <c r="C20" s="29">
        <f>C14*10</f>
        <v>3000</v>
      </c>
      <c r="D20" s="30">
        <v>30</v>
      </c>
      <c r="E20" s="101">
        <f>C20*D20</f>
        <v>90000</v>
      </c>
      <c r="F20" s="102"/>
      <c r="G20" s="103"/>
      <c r="H20" s="1"/>
      <c r="I20" s="1"/>
      <c r="J20" s="1"/>
      <c r="K20" s="1"/>
      <c r="L20" s="1"/>
      <c r="M20" s="1"/>
      <c r="N20" s="1"/>
      <c r="O20" s="1"/>
      <c r="P20" s="1"/>
    </row>
    <row r="21" spans="1:16" ht="18.75" thickBot="1">
      <c r="A21" s="1"/>
      <c r="B21" s="36" t="s">
        <v>0</v>
      </c>
      <c r="C21" s="37"/>
      <c r="D21" s="37"/>
      <c r="E21" s="104">
        <f>SUM(E13:E15,E18:E20)</f>
        <v>3778200</v>
      </c>
      <c r="F21" s="104"/>
      <c r="G21" s="105"/>
      <c r="H21" s="1"/>
      <c r="I21" s="1"/>
      <c r="J21" s="1"/>
      <c r="K21" s="1"/>
      <c r="L21" s="1"/>
      <c r="M21" s="1"/>
      <c r="N21" s="1"/>
      <c r="O21" s="1"/>
      <c r="P21" s="1"/>
    </row>
    <row r="22" spans="1:16" ht="13.5" thickBot="1">
      <c r="A22" s="1"/>
      <c r="B22" s="38"/>
      <c r="C22" s="38"/>
      <c r="D22" s="38"/>
      <c r="E22" s="39"/>
      <c r="F22" s="39"/>
      <c r="G22" s="39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thickBot="1">
      <c r="A23" s="1"/>
      <c r="B23" s="92" t="s">
        <v>20</v>
      </c>
      <c r="C23" s="107"/>
      <c r="D23" s="107"/>
      <c r="E23" s="107"/>
      <c r="F23" s="107"/>
      <c r="G23" s="108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thickBot="1">
      <c r="A24" s="1"/>
      <c r="B24" s="142" t="s">
        <v>11</v>
      </c>
      <c r="C24" s="127" t="s">
        <v>10</v>
      </c>
      <c r="D24" s="128"/>
      <c r="E24" s="129" t="s">
        <v>9</v>
      </c>
      <c r="F24" s="127" t="s">
        <v>8</v>
      </c>
      <c r="G24" s="128"/>
      <c r="H24" s="78"/>
      <c r="I24" s="1"/>
      <c r="J24" s="1"/>
      <c r="K24" s="1"/>
      <c r="L24" s="1"/>
      <c r="M24" s="1"/>
      <c r="N24" s="1"/>
      <c r="O24" s="1"/>
      <c r="P24" s="1"/>
    </row>
    <row r="25" spans="1:16" ht="18.75" thickBot="1">
      <c r="A25" s="1"/>
      <c r="B25" s="94"/>
      <c r="C25" s="42" t="s">
        <v>7</v>
      </c>
      <c r="D25" s="41" t="s">
        <v>6</v>
      </c>
      <c r="E25" s="130"/>
      <c r="F25" s="43" t="s">
        <v>7</v>
      </c>
      <c r="G25" s="44" t="s">
        <v>6</v>
      </c>
      <c r="H25" s="78"/>
      <c r="I25" s="1"/>
      <c r="J25" s="1"/>
      <c r="K25" s="1"/>
      <c r="L25" s="1"/>
      <c r="M25" s="1"/>
      <c r="N25" s="1"/>
      <c r="O25" s="1"/>
      <c r="P25" s="1"/>
    </row>
    <row r="26" spans="1:16" ht="13.5" thickBot="1">
      <c r="A26" s="1"/>
      <c r="B26" s="45" t="s">
        <v>47</v>
      </c>
      <c r="C26" s="46">
        <f>PRODUCT(C14,37)</f>
        <v>11100</v>
      </c>
      <c r="D26" s="46">
        <f>C26*12</f>
        <v>133200</v>
      </c>
      <c r="E26" s="47">
        <v>7.5</v>
      </c>
      <c r="F26" s="48">
        <f>PRODUCT(C26,E26)</f>
        <v>83250</v>
      </c>
      <c r="G26" s="49">
        <f aca="true" t="shared" si="0" ref="G26:G34">F26*12</f>
        <v>999000</v>
      </c>
      <c r="H26" s="78" t="s">
        <v>49</v>
      </c>
      <c r="I26" s="1"/>
      <c r="J26" s="1"/>
      <c r="K26" s="1"/>
      <c r="L26" s="1"/>
      <c r="M26" s="1"/>
      <c r="N26" s="1"/>
      <c r="O26" s="1"/>
      <c r="P26" s="1"/>
    </row>
    <row r="27" spans="1:16" ht="13.5" thickBot="1">
      <c r="A27" s="1"/>
      <c r="B27" s="45" t="s">
        <v>48</v>
      </c>
      <c r="C27" s="46">
        <f>PRODUCT(C14,24)</f>
        <v>7200</v>
      </c>
      <c r="D27" s="46">
        <f>C27*12</f>
        <v>86400</v>
      </c>
      <c r="E27" s="47">
        <v>4</v>
      </c>
      <c r="F27" s="48">
        <f>PRODUCT(C27,E27)</f>
        <v>28800</v>
      </c>
      <c r="G27" s="49">
        <f t="shared" si="0"/>
        <v>345600</v>
      </c>
      <c r="H27" s="78" t="s">
        <v>50</v>
      </c>
      <c r="I27" s="1"/>
      <c r="J27" s="1"/>
      <c r="K27" s="1"/>
      <c r="L27" s="1"/>
      <c r="M27" s="1"/>
      <c r="N27" s="1"/>
      <c r="O27" s="1"/>
      <c r="P27" s="1"/>
    </row>
    <row r="28" spans="1:16" ht="13.5" thickBot="1">
      <c r="A28" s="1"/>
      <c r="B28" s="45" t="s">
        <v>17</v>
      </c>
      <c r="C28" s="46">
        <f>C14*122</f>
        <v>36600</v>
      </c>
      <c r="D28" s="46">
        <f>C28*12</f>
        <v>439200</v>
      </c>
      <c r="E28" s="47">
        <v>1</v>
      </c>
      <c r="F28" s="48">
        <f>PRODUCT(C28,E28)</f>
        <v>36600</v>
      </c>
      <c r="G28" s="49">
        <f t="shared" si="0"/>
        <v>439200</v>
      </c>
      <c r="H28" s="78" t="s">
        <v>51</v>
      </c>
      <c r="I28" s="1"/>
      <c r="J28" s="1"/>
      <c r="K28" s="1"/>
      <c r="L28" s="1"/>
      <c r="M28" s="1"/>
      <c r="N28" s="1"/>
      <c r="O28" s="1"/>
      <c r="P28" s="1"/>
    </row>
    <row r="29" spans="1:16" ht="13.5" thickBot="1">
      <c r="A29" s="1"/>
      <c r="B29" s="45" t="s">
        <v>16</v>
      </c>
      <c r="C29" s="46">
        <f>PRODUCT(C14,30)</f>
        <v>9000</v>
      </c>
      <c r="D29" s="46">
        <f>C29*12</f>
        <v>108000</v>
      </c>
      <c r="E29" s="47">
        <v>2.5</v>
      </c>
      <c r="F29" s="48">
        <f>PRODUCT(C29,E29)</f>
        <v>22500</v>
      </c>
      <c r="G29" s="49">
        <f t="shared" si="0"/>
        <v>270000</v>
      </c>
      <c r="H29" s="78" t="s">
        <v>53</v>
      </c>
      <c r="I29" s="1"/>
      <c r="J29" s="1"/>
      <c r="K29" s="1"/>
      <c r="L29" s="1"/>
      <c r="M29" s="1"/>
      <c r="N29" s="1"/>
      <c r="O29" s="1"/>
      <c r="P29" s="1"/>
    </row>
    <row r="30" spans="1:16" ht="13.5" thickBot="1">
      <c r="A30" s="1"/>
      <c r="B30" s="45" t="s">
        <v>52</v>
      </c>
      <c r="C30" s="46">
        <f>PRODUCT(C14,3.5)</f>
        <v>1050</v>
      </c>
      <c r="D30" s="46">
        <f>C30*12</f>
        <v>12600</v>
      </c>
      <c r="E30" s="47">
        <v>60</v>
      </c>
      <c r="F30" s="48">
        <f>PRODUCT(C30,E30)</f>
        <v>63000</v>
      </c>
      <c r="G30" s="49">
        <f t="shared" si="0"/>
        <v>756000</v>
      </c>
      <c r="H30" s="78" t="s">
        <v>54</v>
      </c>
      <c r="I30" s="1"/>
      <c r="J30" s="1"/>
      <c r="K30" s="1"/>
      <c r="L30" s="1"/>
      <c r="M30" s="1"/>
      <c r="N30" s="1"/>
      <c r="O30" s="1"/>
      <c r="P30" s="1"/>
    </row>
    <row r="31" spans="1:16" ht="13.5" thickBot="1">
      <c r="A31" s="1"/>
      <c r="B31" s="45" t="s">
        <v>14</v>
      </c>
      <c r="C31" s="46"/>
      <c r="D31" s="46"/>
      <c r="E31" s="47"/>
      <c r="F31" s="48">
        <f>PRODUCT(C14,37.5)</f>
        <v>11250</v>
      </c>
      <c r="G31" s="49">
        <f t="shared" si="0"/>
        <v>135000</v>
      </c>
      <c r="H31" s="78"/>
      <c r="I31" s="1"/>
      <c r="J31" s="1"/>
      <c r="K31" s="1"/>
      <c r="L31" s="1"/>
      <c r="M31" s="1"/>
      <c r="N31" s="1"/>
      <c r="O31" s="1"/>
      <c r="P31" s="1"/>
    </row>
    <row r="32" spans="1:16" ht="13.5" thickBot="1">
      <c r="A32" s="1"/>
      <c r="B32" s="45" t="s">
        <v>33</v>
      </c>
      <c r="C32" s="50">
        <f>D32/12</f>
        <v>0</v>
      </c>
      <c r="D32" s="46">
        <f>CEILING(PRODUCT((IF(C14&gt;=300,0,C14)),0.996),1)</f>
        <v>0</v>
      </c>
      <c r="E32" s="47">
        <v>1200</v>
      </c>
      <c r="F32" s="48">
        <f>PRODUCT(C32,E32)</f>
        <v>0</v>
      </c>
      <c r="G32" s="49">
        <f t="shared" si="0"/>
        <v>0</v>
      </c>
      <c r="H32" s="78"/>
      <c r="I32" s="1"/>
      <c r="J32" s="1"/>
      <c r="K32" s="1"/>
      <c r="L32" s="1"/>
      <c r="M32" s="1"/>
      <c r="N32" s="1"/>
      <c r="O32" s="1"/>
      <c r="P32" s="1"/>
    </row>
    <row r="33" spans="1:16" ht="13.5" thickBot="1">
      <c r="A33" s="1"/>
      <c r="B33" s="51" t="s">
        <v>13</v>
      </c>
      <c r="C33" s="52"/>
      <c r="D33" s="53"/>
      <c r="E33" s="54"/>
      <c r="F33" s="55">
        <f>PRODUCT(C14,150)</f>
        <v>45000</v>
      </c>
      <c r="G33" s="56">
        <f t="shared" si="0"/>
        <v>540000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8.75" thickBot="1">
      <c r="A34" s="1"/>
      <c r="B34" s="36" t="s">
        <v>0</v>
      </c>
      <c r="C34" s="37"/>
      <c r="D34" s="37"/>
      <c r="E34" s="37"/>
      <c r="F34" s="57">
        <f>SUM(F26:F33)</f>
        <v>290400</v>
      </c>
      <c r="G34" s="58">
        <f t="shared" si="0"/>
        <v>3484800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3.5" thickBot="1">
      <c r="A35" s="1"/>
      <c r="B35" s="38"/>
      <c r="C35" s="38"/>
      <c r="D35" s="38"/>
      <c r="E35" s="38"/>
      <c r="F35" s="38"/>
      <c r="G35" s="38"/>
      <c r="H35" s="1"/>
      <c r="I35" s="1"/>
      <c r="J35" s="1"/>
      <c r="K35" s="1"/>
      <c r="L35" s="1"/>
      <c r="M35" s="1"/>
      <c r="N35" s="1"/>
      <c r="O35" s="1"/>
      <c r="P35" s="1"/>
    </row>
    <row r="36" spans="1:16" ht="18.75" thickBot="1">
      <c r="A36" s="1"/>
      <c r="B36" s="95" t="s">
        <v>12</v>
      </c>
      <c r="C36" s="96"/>
      <c r="D36" s="96"/>
      <c r="E36" s="96"/>
      <c r="F36" s="96"/>
      <c r="G36" s="97"/>
      <c r="H36" s="1"/>
      <c r="I36" s="1"/>
      <c r="J36" s="1"/>
      <c r="K36" s="1"/>
      <c r="L36" s="1"/>
      <c r="M36" s="1"/>
      <c r="N36" s="1"/>
      <c r="O36" s="1"/>
      <c r="P36" s="1"/>
    </row>
    <row r="37" spans="1:16" ht="18.75" thickBot="1">
      <c r="A37" s="1"/>
      <c r="B37" s="93" t="s">
        <v>11</v>
      </c>
      <c r="C37" s="94" t="s">
        <v>10</v>
      </c>
      <c r="D37" s="141"/>
      <c r="E37" s="129" t="s">
        <v>9</v>
      </c>
      <c r="F37" s="94" t="s">
        <v>8</v>
      </c>
      <c r="G37" s="141"/>
      <c r="H37" s="1"/>
      <c r="I37" s="1"/>
      <c r="J37" s="1"/>
      <c r="K37" s="1"/>
      <c r="L37" s="1"/>
      <c r="M37" s="1"/>
      <c r="N37" s="1"/>
      <c r="O37" s="1"/>
      <c r="P37" s="1"/>
    </row>
    <row r="38" spans="1:16" ht="18.75" thickBot="1">
      <c r="A38" s="1"/>
      <c r="B38" s="94"/>
      <c r="C38" s="42" t="s">
        <v>7</v>
      </c>
      <c r="D38" s="59" t="s">
        <v>6</v>
      </c>
      <c r="E38" s="130"/>
      <c r="F38" s="40" t="s">
        <v>7</v>
      </c>
      <c r="G38" s="43" t="s">
        <v>6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3.5" thickBot="1">
      <c r="A39" s="1"/>
      <c r="B39" s="60" t="s">
        <v>5</v>
      </c>
      <c r="C39" s="46">
        <f>PRODUCT(C14,9)</f>
        <v>2700</v>
      </c>
      <c r="D39" s="46">
        <f aca="true" t="shared" si="1" ref="D39:D44">C39*12</f>
        <v>32400</v>
      </c>
      <c r="E39" s="61">
        <v>150</v>
      </c>
      <c r="F39" s="62">
        <f aca="true" t="shared" si="2" ref="F39:F44">PRODUCT(C39,E39)</f>
        <v>405000</v>
      </c>
      <c r="G39" s="62">
        <f aca="true" t="shared" si="3" ref="G39:G45">F39*12</f>
        <v>4860000</v>
      </c>
      <c r="H39" s="78" t="s">
        <v>55</v>
      </c>
      <c r="I39" s="1"/>
      <c r="J39" s="1"/>
      <c r="K39" s="1"/>
      <c r="L39" s="1"/>
      <c r="M39" s="1"/>
      <c r="N39" s="1"/>
      <c r="O39" s="1"/>
      <c r="P39" s="1"/>
    </row>
    <row r="40" spans="1:16" ht="13.5" thickBot="1">
      <c r="A40" s="1"/>
      <c r="B40" s="60" t="s">
        <v>4</v>
      </c>
      <c r="C40" s="46">
        <f>PRODUCT(C14,0.6)</f>
        <v>180</v>
      </c>
      <c r="D40" s="46">
        <f t="shared" si="1"/>
        <v>2160</v>
      </c>
      <c r="E40" s="61">
        <v>170</v>
      </c>
      <c r="F40" s="62">
        <f t="shared" si="2"/>
        <v>30600</v>
      </c>
      <c r="G40" s="62">
        <f t="shared" si="3"/>
        <v>367200</v>
      </c>
      <c r="H40" s="78" t="s">
        <v>55</v>
      </c>
      <c r="I40" s="1"/>
      <c r="J40" s="1"/>
      <c r="K40" s="1"/>
      <c r="L40" s="1"/>
      <c r="M40" s="1"/>
      <c r="N40" s="1"/>
      <c r="O40" s="1"/>
      <c r="P40" s="1"/>
    </row>
    <row r="41" spans="1:16" ht="13.5" thickBot="1">
      <c r="A41" s="1"/>
      <c r="B41" s="63" t="s">
        <v>3</v>
      </c>
      <c r="C41" s="52">
        <f>PRODUCT(C14,4)</f>
        <v>1200</v>
      </c>
      <c r="D41" s="52">
        <f t="shared" si="1"/>
        <v>14400</v>
      </c>
      <c r="E41" s="64">
        <v>65</v>
      </c>
      <c r="F41" s="65">
        <f t="shared" si="2"/>
        <v>78000</v>
      </c>
      <c r="G41" s="65">
        <f t="shared" si="3"/>
        <v>936000</v>
      </c>
      <c r="H41" s="78" t="s">
        <v>56</v>
      </c>
      <c r="I41" s="1"/>
      <c r="J41" s="1"/>
      <c r="K41" s="1"/>
      <c r="L41" s="1"/>
      <c r="M41" s="1"/>
      <c r="N41" s="1"/>
      <c r="O41" s="1"/>
      <c r="P41" s="1"/>
    </row>
    <row r="42" spans="1:16" ht="13.5" thickBot="1">
      <c r="A42" s="1"/>
      <c r="B42" s="60" t="s">
        <v>32</v>
      </c>
      <c r="C42" s="46">
        <f>FLOOR(IF(C14&gt;=300,C14,0)*0.25,1)</f>
        <v>75</v>
      </c>
      <c r="D42" s="46">
        <f t="shared" si="1"/>
        <v>900</v>
      </c>
      <c r="E42" s="61">
        <v>1000</v>
      </c>
      <c r="F42" s="62">
        <f t="shared" si="2"/>
        <v>75000</v>
      </c>
      <c r="G42" s="62">
        <f t="shared" si="3"/>
        <v>900000</v>
      </c>
      <c r="H42" s="78" t="s">
        <v>56</v>
      </c>
      <c r="I42" s="1"/>
      <c r="J42" s="1"/>
      <c r="K42" s="1"/>
      <c r="L42" s="1"/>
      <c r="M42" s="1"/>
      <c r="N42" s="1"/>
      <c r="O42" s="1"/>
      <c r="P42" s="1"/>
    </row>
    <row r="43" spans="1:16" ht="13.5" thickBot="1">
      <c r="A43" s="1"/>
      <c r="B43" s="60" t="s">
        <v>2</v>
      </c>
      <c r="C43" s="46">
        <f>PRODUCT(C14,25)</f>
        <v>7500</v>
      </c>
      <c r="D43" s="46">
        <f t="shared" si="1"/>
        <v>90000</v>
      </c>
      <c r="E43" s="61">
        <v>10</v>
      </c>
      <c r="F43" s="62">
        <f t="shared" si="2"/>
        <v>75000</v>
      </c>
      <c r="G43" s="62">
        <f t="shared" si="3"/>
        <v>900000</v>
      </c>
      <c r="H43" s="78" t="s">
        <v>55</v>
      </c>
      <c r="I43" s="1"/>
      <c r="J43" s="1"/>
      <c r="K43" s="1"/>
      <c r="L43" s="1"/>
      <c r="M43" s="1"/>
      <c r="N43" s="1"/>
      <c r="O43" s="1"/>
      <c r="P43" s="1"/>
    </row>
    <row r="44" spans="1:50" ht="13.5" thickBot="1">
      <c r="A44" s="1"/>
      <c r="B44" s="66" t="s">
        <v>1</v>
      </c>
      <c r="C44" s="53">
        <f>PRODUCT(C14,0.8)</f>
        <v>240</v>
      </c>
      <c r="D44" s="53">
        <f t="shared" si="1"/>
        <v>2880</v>
      </c>
      <c r="E44" s="67">
        <v>40</v>
      </c>
      <c r="F44" s="68">
        <f t="shared" si="2"/>
        <v>9600</v>
      </c>
      <c r="G44" s="68">
        <f t="shared" si="3"/>
        <v>115200</v>
      </c>
      <c r="H44" s="78" t="s">
        <v>55</v>
      </c>
      <c r="I44" s="1"/>
      <c r="J44" s="1"/>
      <c r="K44" s="1"/>
      <c r="L44" s="1"/>
      <c r="M44" s="1"/>
      <c r="N44" s="1"/>
      <c r="O44" s="1"/>
      <c r="P44" s="1"/>
      <c r="AA44">
        <v>1</v>
      </c>
      <c r="AB44">
        <v>2</v>
      </c>
      <c r="AC44">
        <v>3</v>
      </c>
      <c r="AD44">
        <v>4</v>
      </c>
      <c r="AE44">
        <v>5</v>
      </c>
      <c r="AF44">
        <v>6</v>
      </c>
      <c r="AG44">
        <v>7</v>
      </c>
      <c r="AH44">
        <v>8</v>
      </c>
      <c r="AI44">
        <v>9</v>
      </c>
      <c r="AJ44">
        <v>10</v>
      </c>
      <c r="AK44">
        <v>11</v>
      </c>
      <c r="AL44">
        <v>12</v>
      </c>
      <c r="AM44">
        <v>13</v>
      </c>
      <c r="AN44">
        <v>14</v>
      </c>
      <c r="AO44">
        <v>15</v>
      </c>
      <c r="AP44">
        <v>16</v>
      </c>
      <c r="AQ44">
        <v>17</v>
      </c>
      <c r="AR44">
        <v>18</v>
      </c>
      <c r="AS44">
        <v>19</v>
      </c>
      <c r="AT44">
        <v>20</v>
      </c>
      <c r="AU44">
        <v>21</v>
      </c>
      <c r="AV44">
        <v>22</v>
      </c>
      <c r="AW44">
        <v>23</v>
      </c>
      <c r="AX44">
        <v>24</v>
      </c>
    </row>
    <row r="45" spans="1:50" ht="18.75" thickBot="1">
      <c r="A45" s="1"/>
      <c r="B45" s="69" t="s">
        <v>0</v>
      </c>
      <c r="C45" s="70"/>
      <c r="D45" s="70"/>
      <c r="E45" s="70"/>
      <c r="F45" s="71">
        <f>SUM(F39:F44)</f>
        <v>673200</v>
      </c>
      <c r="G45" s="72">
        <f t="shared" si="3"/>
        <v>8078400</v>
      </c>
      <c r="H45" s="1"/>
      <c r="I45" s="1"/>
      <c r="J45" s="1"/>
      <c r="K45" s="1"/>
      <c r="L45" s="1"/>
      <c r="M45" s="1"/>
      <c r="N45" s="1"/>
      <c r="O45" s="1"/>
      <c r="P45" s="1"/>
      <c r="AA45" s="3">
        <f>-E21-F34</f>
        <v>-4068600</v>
      </c>
      <c r="AB45" s="3">
        <f>AA45-F34</f>
        <v>-4359000</v>
      </c>
      <c r="AC45" s="3">
        <f>AB45-F34</f>
        <v>-4649400</v>
      </c>
      <c r="AD45" s="3">
        <f>AC45-F34</f>
        <v>-4939800</v>
      </c>
      <c r="AE45" s="3">
        <f>AD45+AA51</f>
        <v>-4597392</v>
      </c>
      <c r="AF45" s="3">
        <f aca="true" t="shared" si="4" ref="AF45:AX45">AE45+$AA$51</f>
        <v>-4254984</v>
      </c>
      <c r="AG45" s="3">
        <f t="shared" si="4"/>
        <v>-3912576</v>
      </c>
      <c r="AH45" s="3">
        <f t="shared" si="4"/>
        <v>-3570168</v>
      </c>
      <c r="AI45" s="3">
        <f t="shared" si="4"/>
        <v>-3227760</v>
      </c>
      <c r="AJ45" s="3">
        <f t="shared" si="4"/>
        <v>-2885352</v>
      </c>
      <c r="AK45" s="3">
        <f t="shared" si="4"/>
        <v>-2542944</v>
      </c>
      <c r="AL45" s="3">
        <f t="shared" si="4"/>
        <v>-2200536</v>
      </c>
      <c r="AM45" s="3">
        <f t="shared" si="4"/>
        <v>-1858128</v>
      </c>
      <c r="AN45" s="3">
        <f t="shared" si="4"/>
        <v>-1515720</v>
      </c>
      <c r="AO45" s="3">
        <f t="shared" si="4"/>
        <v>-1173312</v>
      </c>
      <c r="AP45" s="3">
        <f t="shared" si="4"/>
        <v>-830904</v>
      </c>
      <c r="AQ45" s="3">
        <f t="shared" si="4"/>
        <v>-488496</v>
      </c>
      <c r="AR45" s="3">
        <f t="shared" si="4"/>
        <v>-146088</v>
      </c>
      <c r="AS45" s="3">
        <f t="shared" si="4"/>
        <v>196320</v>
      </c>
      <c r="AT45" s="3">
        <f t="shared" si="4"/>
        <v>538728</v>
      </c>
      <c r="AU45" s="3">
        <f t="shared" si="4"/>
        <v>881136</v>
      </c>
      <c r="AV45" s="3">
        <f t="shared" si="4"/>
        <v>1223544</v>
      </c>
      <c r="AW45" s="3">
        <f t="shared" si="4"/>
        <v>1565952</v>
      </c>
      <c r="AX45" s="3">
        <f t="shared" si="4"/>
        <v>1908360</v>
      </c>
    </row>
    <row r="46" spans="1:16" ht="12.75">
      <c r="A46" s="1"/>
      <c r="B46" s="15"/>
      <c r="C46" s="15"/>
      <c r="D46" s="15"/>
      <c r="E46" s="15"/>
      <c r="F46" s="15"/>
      <c r="G46" s="15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5"/>
      <c r="C47" s="15"/>
      <c r="D47" s="15"/>
      <c r="E47" s="15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</row>
    <row r="48" spans="1:52" ht="12.75">
      <c r="A48" s="1"/>
      <c r="B48" s="73"/>
      <c r="C48" s="73"/>
      <c r="D48" s="73"/>
      <c r="E48" s="73"/>
      <c r="F48" s="73"/>
      <c r="G48" s="73"/>
      <c r="H48" s="1"/>
      <c r="I48" s="1"/>
      <c r="J48" s="1"/>
      <c r="K48" s="1"/>
      <c r="L48" s="1"/>
      <c r="M48" s="1"/>
      <c r="N48" s="1"/>
      <c r="O48" s="1"/>
      <c r="P48" s="1"/>
      <c r="AA48">
        <v>25</v>
      </c>
      <c r="AB48">
        <v>26</v>
      </c>
      <c r="AC48">
        <v>27</v>
      </c>
      <c r="AD48">
        <v>28</v>
      </c>
      <c r="AE48">
        <v>29</v>
      </c>
      <c r="AF48">
        <v>30</v>
      </c>
      <c r="AG48">
        <v>31</v>
      </c>
      <c r="AH48">
        <v>32</v>
      </c>
      <c r="AI48">
        <v>33</v>
      </c>
      <c r="AJ48">
        <v>34</v>
      </c>
      <c r="AK48">
        <v>35</v>
      </c>
      <c r="AL48">
        <v>36</v>
      </c>
      <c r="AM48">
        <v>37</v>
      </c>
      <c r="AN48">
        <v>38</v>
      </c>
      <c r="AO48">
        <v>39</v>
      </c>
      <c r="AP48">
        <v>40</v>
      </c>
      <c r="AQ48">
        <v>41</v>
      </c>
      <c r="AR48">
        <v>42</v>
      </c>
      <c r="AS48">
        <v>43</v>
      </c>
      <c r="AT48">
        <v>44</v>
      </c>
      <c r="AU48">
        <v>45</v>
      </c>
      <c r="AV48">
        <v>46</v>
      </c>
      <c r="AW48">
        <v>47</v>
      </c>
      <c r="AX48">
        <v>48</v>
      </c>
      <c r="AY48">
        <v>49</v>
      </c>
      <c r="AZ48">
        <v>50</v>
      </c>
    </row>
    <row r="49" spans="1:59" ht="12.75">
      <c r="A49" s="1"/>
      <c r="B49" s="73"/>
      <c r="C49" s="73"/>
      <c r="D49" s="73"/>
      <c r="E49" s="73"/>
      <c r="F49" s="73"/>
      <c r="G49" s="73"/>
      <c r="H49" s="1"/>
      <c r="I49" s="1"/>
      <c r="J49" s="1"/>
      <c r="K49" s="1"/>
      <c r="L49" s="1"/>
      <c r="M49" s="1"/>
      <c r="N49" s="1"/>
      <c r="O49" s="1"/>
      <c r="P49" s="1"/>
      <c r="AA49" s="3">
        <f>AX45+$AA$51</f>
        <v>2250768</v>
      </c>
      <c r="AB49" s="3">
        <f aca="true" t="shared" si="5" ref="AB49:BG49">AA49+$AA$51</f>
        <v>2593176</v>
      </c>
      <c r="AC49" s="3">
        <f t="shared" si="5"/>
        <v>2935584</v>
      </c>
      <c r="AD49" s="3">
        <f t="shared" si="5"/>
        <v>3277992</v>
      </c>
      <c r="AE49" s="3">
        <f t="shared" si="5"/>
        <v>3620400</v>
      </c>
      <c r="AF49" s="3">
        <f t="shared" si="5"/>
        <v>3962808</v>
      </c>
      <c r="AG49" s="3">
        <f t="shared" si="5"/>
        <v>4305216</v>
      </c>
      <c r="AH49" s="3">
        <f t="shared" si="5"/>
        <v>4647624</v>
      </c>
      <c r="AI49" s="3">
        <f t="shared" si="5"/>
        <v>4990032</v>
      </c>
      <c r="AJ49" s="3">
        <f t="shared" si="5"/>
        <v>5332440</v>
      </c>
      <c r="AK49" s="3">
        <f t="shared" si="5"/>
        <v>5674848</v>
      </c>
      <c r="AL49" s="3">
        <f t="shared" si="5"/>
        <v>6017256</v>
      </c>
      <c r="AM49" s="3">
        <f t="shared" si="5"/>
        <v>6359664</v>
      </c>
      <c r="AN49" s="3">
        <f t="shared" si="5"/>
        <v>6702072</v>
      </c>
      <c r="AO49" s="3">
        <f t="shared" si="5"/>
        <v>7044480</v>
      </c>
      <c r="AP49" s="3">
        <f t="shared" si="5"/>
        <v>7386888</v>
      </c>
      <c r="AQ49" s="3">
        <f t="shared" si="5"/>
        <v>7729296</v>
      </c>
      <c r="AR49" s="3">
        <f t="shared" si="5"/>
        <v>8071704</v>
      </c>
      <c r="AS49" s="3">
        <f t="shared" si="5"/>
        <v>8414112</v>
      </c>
      <c r="AT49" s="3">
        <f t="shared" si="5"/>
        <v>8756520</v>
      </c>
      <c r="AU49" s="3">
        <f t="shared" si="5"/>
        <v>9098928</v>
      </c>
      <c r="AV49" s="3">
        <f t="shared" si="5"/>
        <v>9441336</v>
      </c>
      <c r="AW49" s="3">
        <f t="shared" si="5"/>
        <v>9783744</v>
      </c>
      <c r="AX49" s="3">
        <f t="shared" si="5"/>
        <v>10126152</v>
      </c>
      <c r="AY49" s="3">
        <f t="shared" si="5"/>
        <v>10468560</v>
      </c>
      <c r="AZ49" s="3">
        <f t="shared" si="5"/>
        <v>10810968</v>
      </c>
      <c r="BA49" s="3">
        <f t="shared" si="5"/>
        <v>11153376</v>
      </c>
      <c r="BB49" s="3">
        <f t="shared" si="5"/>
        <v>11495784</v>
      </c>
      <c r="BC49" s="3">
        <f t="shared" si="5"/>
        <v>11838192</v>
      </c>
      <c r="BD49" s="3">
        <f t="shared" si="5"/>
        <v>12180600</v>
      </c>
      <c r="BE49" s="3">
        <f t="shared" si="5"/>
        <v>12523008</v>
      </c>
      <c r="BF49" s="3">
        <f t="shared" si="5"/>
        <v>12865416</v>
      </c>
      <c r="BG49" s="3">
        <f t="shared" si="5"/>
        <v>13207824</v>
      </c>
    </row>
    <row r="50" spans="1:16" ht="12.75">
      <c r="A50" s="1"/>
      <c r="B50" s="73"/>
      <c r="C50" s="73"/>
      <c r="D50" s="73"/>
      <c r="E50" s="73"/>
      <c r="F50" s="73"/>
      <c r="G50" s="73"/>
      <c r="H50" s="1"/>
      <c r="I50" s="1"/>
      <c r="J50" s="1"/>
      <c r="K50" s="1"/>
      <c r="L50" s="1"/>
      <c r="M50" s="1"/>
      <c r="N50" s="1"/>
      <c r="O50" s="1"/>
      <c r="P50" s="1"/>
    </row>
    <row r="51" spans="1:27" ht="12.75">
      <c r="A51" s="1"/>
      <c r="B51" s="73"/>
      <c r="C51" s="73"/>
      <c r="D51" s="73"/>
      <c r="E51" s="73"/>
      <c r="F51" s="73"/>
      <c r="G51" s="73"/>
      <c r="H51" s="1"/>
      <c r="I51" s="1"/>
      <c r="J51" s="1"/>
      <c r="K51" s="1"/>
      <c r="L51" s="1"/>
      <c r="M51" s="1"/>
      <c r="N51" s="1"/>
      <c r="O51" s="1"/>
      <c r="P51" s="1"/>
      <c r="AA51" s="2">
        <f>F45*0.94-F34</f>
        <v>342408</v>
      </c>
    </row>
    <row r="52" spans="1:16" ht="12.75">
      <c r="A52" s="1"/>
      <c r="B52" s="73"/>
      <c r="C52" s="73"/>
      <c r="D52" s="73"/>
      <c r="E52" s="73"/>
      <c r="F52" s="73"/>
      <c r="G52" s="73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73"/>
      <c r="C53" s="73"/>
      <c r="D53" s="73"/>
      <c r="E53" s="73"/>
      <c r="F53" s="73"/>
      <c r="G53" s="73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73"/>
      <c r="C54" s="73"/>
      <c r="D54" s="73"/>
      <c r="E54" s="73"/>
      <c r="F54" s="73"/>
      <c r="G54" s="73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73"/>
      <c r="C55" s="73"/>
      <c r="D55" s="73"/>
      <c r="E55" s="73"/>
      <c r="F55" s="73"/>
      <c r="G55" s="73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73"/>
      <c r="C56" s="73"/>
      <c r="D56" s="73"/>
      <c r="E56" s="73"/>
      <c r="F56" s="73"/>
      <c r="G56" s="73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73"/>
      <c r="C57" s="73"/>
      <c r="D57" s="73"/>
      <c r="E57" s="73"/>
      <c r="F57" s="73"/>
      <c r="G57" s="73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73"/>
      <c r="C58" s="73"/>
      <c r="D58" s="73"/>
      <c r="E58" s="73"/>
      <c r="F58" s="73"/>
      <c r="G58" s="73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73"/>
      <c r="C59" s="73"/>
      <c r="D59" s="73"/>
      <c r="E59" s="73"/>
      <c r="F59" s="73"/>
      <c r="G59" s="73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73"/>
      <c r="C60" s="73"/>
      <c r="D60" s="73"/>
      <c r="E60" s="73"/>
      <c r="F60" s="73"/>
      <c r="G60" s="73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73"/>
      <c r="C61" s="73"/>
      <c r="D61" s="73"/>
      <c r="E61" s="73"/>
      <c r="F61" s="73"/>
      <c r="G61" s="73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73"/>
      <c r="C62" s="73"/>
      <c r="D62" s="73"/>
      <c r="E62" s="73"/>
      <c r="F62" s="73"/>
      <c r="G62" s="73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73"/>
      <c r="C63" s="73"/>
      <c r="D63" s="73"/>
      <c r="E63" s="73"/>
      <c r="F63" s="73"/>
      <c r="G63" s="73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73"/>
      <c r="C64" s="73"/>
      <c r="D64" s="73"/>
      <c r="E64" s="73"/>
      <c r="F64" s="73"/>
      <c r="G64" s="73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5"/>
      <c r="C65" s="15"/>
      <c r="D65" s="15"/>
      <c r="E65" s="15"/>
      <c r="F65" s="15"/>
      <c r="G65" s="15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5"/>
      <c r="C66" s="15"/>
      <c r="D66" s="15"/>
      <c r="E66" s="15"/>
      <c r="F66" s="15"/>
      <c r="G66" s="15"/>
      <c r="H66" s="1"/>
      <c r="I66" s="1"/>
      <c r="J66" s="1"/>
      <c r="K66" s="1"/>
      <c r="L66" s="1"/>
      <c r="M66" s="1"/>
      <c r="N66" s="1"/>
      <c r="O66" s="1"/>
      <c r="P66" s="1"/>
    </row>
    <row r="67" spans="1:16" ht="20.25">
      <c r="A67" s="1"/>
      <c r="B67" s="131" t="s">
        <v>43</v>
      </c>
      <c r="C67" s="132"/>
      <c r="D67" s="132"/>
      <c r="E67" s="132"/>
      <c r="F67" s="132"/>
      <c r="G67" s="132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5"/>
      <c r="C68" s="15"/>
      <c r="D68" s="15"/>
      <c r="E68" s="15"/>
      <c r="F68" s="15"/>
      <c r="G68" s="15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5"/>
      <c r="C69" s="15"/>
      <c r="D69" s="15"/>
      <c r="E69" s="15"/>
      <c r="F69" s="15"/>
      <c r="G69" s="15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5"/>
      <c r="C70" s="15"/>
      <c r="D70" s="15"/>
      <c r="E70" s="15"/>
      <c r="F70" s="15"/>
      <c r="G70" s="15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</sheetData>
  <sheetProtection password="C761" sheet="1" objects="1" scenarios="1"/>
  <protectedRanges>
    <protectedRange sqref="E5" name="Диапазон1"/>
  </protectedRanges>
  <mergeCells count="29">
    <mergeCell ref="B67:G67"/>
    <mergeCell ref="D7:D8"/>
    <mergeCell ref="C1:F2"/>
    <mergeCell ref="C3:F4"/>
    <mergeCell ref="B1:B4"/>
    <mergeCell ref="G1:G4"/>
    <mergeCell ref="C37:D37"/>
    <mergeCell ref="E37:E38"/>
    <mergeCell ref="F37:G37"/>
    <mergeCell ref="B24:B25"/>
    <mergeCell ref="E13:G13"/>
    <mergeCell ref="E14:G14"/>
    <mergeCell ref="E15:G15"/>
    <mergeCell ref="C24:D24"/>
    <mergeCell ref="E24:E25"/>
    <mergeCell ref="F24:G24"/>
    <mergeCell ref="E18:G18"/>
    <mergeCell ref="E19:G19"/>
    <mergeCell ref="B23:G23"/>
    <mergeCell ref="B37:B38"/>
    <mergeCell ref="B36:G36"/>
    <mergeCell ref="E5:G5"/>
    <mergeCell ref="E20:G20"/>
    <mergeCell ref="E21:G21"/>
    <mergeCell ref="B5:D5"/>
    <mergeCell ref="B11:G11"/>
    <mergeCell ref="E16:G16"/>
    <mergeCell ref="E17:G17"/>
    <mergeCell ref="E12:G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"/>
  <sheetViews>
    <sheetView workbookViewId="0" topLeftCell="A2">
      <selection activeCell="D28" sqref="D28"/>
    </sheetView>
  </sheetViews>
  <sheetFormatPr defaultColWidth="9.00390625" defaultRowHeight="12.75"/>
  <cols>
    <col min="1" max="1" width="6.00390625" style="0" customWidth="1"/>
    <col min="2" max="2" width="26.25390625" style="0" customWidth="1"/>
    <col min="3" max="3" width="23.875" style="0" customWidth="1"/>
    <col min="4" max="4" width="23.00390625" style="0" customWidth="1"/>
    <col min="5" max="5" width="20.00390625" style="0" customWidth="1"/>
    <col min="6" max="6" width="23.375" style="0" customWidth="1"/>
    <col min="7" max="7" width="13.00390625" style="0" customWidth="1"/>
    <col min="8" max="10" width="12.75390625" style="0" bestFit="1" customWidth="1"/>
    <col min="11" max="18" width="11.75390625" style="0" bestFit="1" customWidth="1"/>
    <col min="19" max="20" width="10.75390625" style="0" bestFit="1" customWidth="1"/>
    <col min="21" max="25" width="11.75390625" style="0" bestFit="1" customWidth="1"/>
  </cols>
  <sheetData>
    <row r="1" spans="1:38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13.5" thickTop="1">
      <c r="A2" s="15"/>
      <c r="B2" s="146" t="s">
        <v>44</v>
      </c>
      <c r="C2" s="147"/>
      <c r="D2" s="147"/>
      <c r="E2" s="147"/>
      <c r="F2" s="147"/>
      <c r="G2" s="148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ht="12.75">
      <c r="A3" s="15"/>
      <c r="B3" s="149"/>
      <c r="C3" s="150"/>
      <c r="D3" s="150"/>
      <c r="E3" s="150"/>
      <c r="F3" s="150"/>
      <c r="G3" s="151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ht="13.5" thickBot="1">
      <c r="A4" s="15"/>
      <c r="B4" s="152"/>
      <c r="C4" s="153"/>
      <c r="D4" s="153"/>
      <c r="E4" s="153"/>
      <c r="F4" s="153"/>
      <c r="G4" s="15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8" ht="14.25" thickBot="1" thickTop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</row>
    <row r="6" spans="1:38" ht="24" thickBot="1">
      <c r="A6" s="15"/>
      <c r="B6" s="106" t="s">
        <v>31</v>
      </c>
      <c r="C6" s="91"/>
      <c r="D6" s="155"/>
      <c r="E6" s="156">
        <v>345</v>
      </c>
      <c r="F6" s="157"/>
      <c r="G6" s="15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13.5" thickBot="1">
      <c r="A7" s="15"/>
      <c r="B7" s="159"/>
      <c r="C7" s="159"/>
      <c r="D7" s="159"/>
      <c r="E7" s="159"/>
      <c r="F7" s="159"/>
      <c r="G7" s="15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</row>
    <row r="8" spans="1:38" ht="12.75">
      <c r="A8" s="15"/>
      <c r="B8" s="5" t="s">
        <v>34</v>
      </c>
      <c r="C8" s="6">
        <f>E22</f>
        <v>4338500</v>
      </c>
      <c r="D8" s="133"/>
      <c r="E8" s="7" t="s">
        <v>40</v>
      </c>
      <c r="F8" s="8"/>
      <c r="G8" s="9">
        <f>F46</f>
        <v>773930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</row>
    <row r="9" spans="1:38" ht="13.5" thickBot="1">
      <c r="A9" s="15"/>
      <c r="B9" s="10" t="s">
        <v>37</v>
      </c>
      <c r="C9" s="11">
        <f>F35</f>
        <v>333960</v>
      </c>
      <c r="D9" s="134"/>
      <c r="E9" s="12" t="s">
        <v>38</v>
      </c>
      <c r="F9" s="13"/>
      <c r="G9" s="14">
        <f>G8*0.94-C9</f>
        <v>393534.19999999995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ht="13.5" thickBot="1">
      <c r="A10" s="15"/>
      <c r="B10" s="15"/>
      <c r="C10" s="16" t="s">
        <v>35</v>
      </c>
      <c r="D10" s="17">
        <f>(C8+7*C9)/(G9)</f>
        <v>16.964777140080837</v>
      </c>
      <c r="E10" s="18" t="s">
        <v>39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</row>
    <row r="12" spans="1:38" ht="18.75" thickBot="1">
      <c r="A12" s="15"/>
      <c r="B12" s="92" t="s">
        <v>30</v>
      </c>
      <c r="C12" s="107"/>
      <c r="D12" s="107"/>
      <c r="E12" s="107"/>
      <c r="F12" s="107"/>
      <c r="G12" s="10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</row>
    <row r="13" spans="1:38" ht="18.75" thickBot="1">
      <c r="A13" s="15"/>
      <c r="B13" s="19" t="s">
        <v>29</v>
      </c>
      <c r="C13" s="20" t="s">
        <v>10</v>
      </c>
      <c r="D13" s="21" t="s">
        <v>28</v>
      </c>
      <c r="E13" s="115" t="s">
        <v>8</v>
      </c>
      <c r="F13" s="116"/>
      <c r="G13" s="1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</row>
    <row r="14" spans="1:38" ht="13.5" thickBot="1">
      <c r="A14" s="15"/>
      <c r="B14" s="22" t="s">
        <v>27</v>
      </c>
      <c r="C14" s="23">
        <v>1</v>
      </c>
      <c r="D14" s="24">
        <v>9000</v>
      </c>
      <c r="E14" s="118">
        <v>9000</v>
      </c>
      <c r="F14" s="119"/>
      <c r="G14" s="120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</row>
    <row r="15" spans="1:38" ht="13.5" thickBot="1">
      <c r="A15" s="15"/>
      <c r="B15" s="25" t="s">
        <v>58</v>
      </c>
      <c r="C15" s="81">
        <f>E6</f>
        <v>345</v>
      </c>
      <c r="D15" s="82">
        <v>8000</v>
      </c>
      <c r="E15" s="121">
        <f>PRODUCT(C15,D15)</f>
        <v>2760000</v>
      </c>
      <c r="F15" s="122"/>
      <c r="G15" s="12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</row>
    <row r="16" spans="1:38" ht="12.75">
      <c r="A16" s="15"/>
      <c r="B16" s="28" t="s">
        <v>26</v>
      </c>
      <c r="C16" s="29">
        <f>SUM(C17,C18)</f>
        <v>3590</v>
      </c>
      <c r="D16" s="83">
        <v>100</v>
      </c>
      <c r="E16" s="124">
        <f>SUM(E17,E18)</f>
        <v>359000</v>
      </c>
      <c r="F16" s="125"/>
      <c r="G16" s="12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1:38" ht="12.75">
      <c r="A17" s="15"/>
      <c r="B17" s="31" t="s">
        <v>25</v>
      </c>
      <c r="C17" s="32">
        <f>PRODUCT(C15,8)</f>
        <v>2760</v>
      </c>
      <c r="D17" s="79">
        <f>D16</f>
        <v>100</v>
      </c>
      <c r="E17" s="109">
        <f>PRODUCT(D16,C17)</f>
        <v>276000</v>
      </c>
      <c r="F17" s="110"/>
      <c r="G17" s="11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</row>
    <row r="18" spans="1:38" ht="13.5" thickBot="1">
      <c r="A18" s="15"/>
      <c r="B18" s="22" t="s">
        <v>24</v>
      </c>
      <c r="C18" s="34">
        <f>CEILING(PRODUCT(C17,0.3),10)</f>
        <v>830</v>
      </c>
      <c r="D18" s="80">
        <f>D16</f>
        <v>100</v>
      </c>
      <c r="E18" s="112">
        <f>PRODUCT(D16,C18)</f>
        <v>83000</v>
      </c>
      <c r="F18" s="113"/>
      <c r="G18" s="1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</row>
    <row r="19" spans="1:38" ht="13.5" thickBot="1">
      <c r="A19" s="15"/>
      <c r="B19" s="25" t="s">
        <v>23</v>
      </c>
      <c r="C19" s="26">
        <f>INT(C15)</f>
        <v>345</v>
      </c>
      <c r="D19" s="82">
        <v>3000</v>
      </c>
      <c r="E19" s="121">
        <f>PRODUCT(C19,D19)</f>
        <v>1035000</v>
      </c>
      <c r="F19" s="122"/>
      <c r="G19" s="12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</row>
    <row r="20" spans="1:38" ht="13.5" thickBot="1">
      <c r="A20" s="15"/>
      <c r="B20" s="25" t="s">
        <v>22</v>
      </c>
      <c r="C20" s="81">
        <f>CEILING(4*SQRT(C16),1)</f>
        <v>240</v>
      </c>
      <c r="D20" s="82">
        <v>300</v>
      </c>
      <c r="E20" s="121">
        <f>PRODUCT(C20,D20)</f>
        <v>72000</v>
      </c>
      <c r="F20" s="122"/>
      <c r="G20" s="12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</row>
    <row r="21" spans="1:38" ht="13.5" thickBot="1">
      <c r="A21" s="15"/>
      <c r="B21" s="28" t="s">
        <v>21</v>
      </c>
      <c r="C21" s="29">
        <f>C15*10</f>
        <v>3450</v>
      </c>
      <c r="D21" s="30">
        <v>30</v>
      </c>
      <c r="E21" s="143">
        <f>C21*D21</f>
        <v>103500</v>
      </c>
      <c r="F21" s="144"/>
      <c r="G21" s="14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ht="18.75" customHeight="1" thickBot="1">
      <c r="A22" s="15"/>
      <c r="B22" s="36" t="s">
        <v>0</v>
      </c>
      <c r="C22" s="37"/>
      <c r="D22" s="37"/>
      <c r="E22" s="104">
        <f>SUM(E14:E16,E19:E21)</f>
        <v>4338500</v>
      </c>
      <c r="F22" s="104"/>
      <c r="G22" s="10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3" spans="1:38" ht="13.5" thickBot="1">
      <c r="A23" s="15"/>
      <c r="B23" s="38"/>
      <c r="C23" s="38"/>
      <c r="D23" s="38"/>
      <c r="E23" s="39"/>
      <c r="F23" s="39"/>
      <c r="G23" s="3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</row>
    <row r="24" spans="1:38" ht="18.75" thickBot="1">
      <c r="A24" s="15"/>
      <c r="B24" s="92" t="s">
        <v>20</v>
      </c>
      <c r="C24" s="107"/>
      <c r="D24" s="107"/>
      <c r="E24" s="107"/>
      <c r="F24" s="107"/>
      <c r="G24" s="10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</row>
    <row r="25" spans="1:38" ht="18.75" thickBot="1">
      <c r="A25" s="15"/>
      <c r="B25" s="142" t="s">
        <v>11</v>
      </c>
      <c r="C25" s="127" t="s">
        <v>10</v>
      </c>
      <c r="D25" s="128"/>
      <c r="E25" s="129" t="s">
        <v>9</v>
      </c>
      <c r="F25" s="127" t="s">
        <v>8</v>
      </c>
      <c r="G25" s="12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</row>
    <row r="26" spans="1:38" ht="18.75" thickBot="1">
      <c r="A26" s="15"/>
      <c r="B26" s="94"/>
      <c r="C26" s="42" t="s">
        <v>7</v>
      </c>
      <c r="D26" s="41" t="s">
        <v>6</v>
      </c>
      <c r="E26" s="130"/>
      <c r="F26" s="43" t="s">
        <v>7</v>
      </c>
      <c r="G26" s="44" t="s">
        <v>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</row>
    <row r="27" spans="1:38" ht="13.5" thickBot="1">
      <c r="A27" s="15"/>
      <c r="B27" s="45" t="s">
        <v>19</v>
      </c>
      <c r="C27" s="46">
        <f>PRODUCT(C15,37)</f>
        <v>12765</v>
      </c>
      <c r="D27" s="46">
        <f>C27*12</f>
        <v>153180</v>
      </c>
      <c r="E27" s="84">
        <v>7.5</v>
      </c>
      <c r="F27" s="48">
        <f>PRODUCT(C27,E27)</f>
        <v>95737.5</v>
      </c>
      <c r="G27" s="49">
        <f aca="true" t="shared" si="0" ref="G27:G35">F27*12</f>
        <v>1148850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</row>
    <row r="28" spans="1:38" ht="13.5" thickBot="1">
      <c r="A28" s="15"/>
      <c r="B28" s="45" t="s">
        <v>18</v>
      </c>
      <c r="C28" s="46">
        <f>PRODUCT(C15,24)</f>
        <v>8280</v>
      </c>
      <c r="D28" s="46">
        <f>C28*12</f>
        <v>99360</v>
      </c>
      <c r="E28" s="84">
        <v>4</v>
      </c>
      <c r="F28" s="48">
        <f>PRODUCT(C28,E28)</f>
        <v>33120</v>
      </c>
      <c r="G28" s="49">
        <f t="shared" si="0"/>
        <v>397440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</row>
    <row r="29" spans="1:38" ht="13.5" thickBot="1">
      <c r="A29" s="15"/>
      <c r="B29" s="45" t="s">
        <v>17</v>
      </c>
      <c r="C29" s="46">
        <f>C15*122</f>
        <v>42090</v>
      </c>
      <c r="D29" s="46">
        <f>C29*12</f>
        <v>505080</v>
      </c>
      <c r="E29" s="84">
        <v>1</v>
      </c>
      <c r="F29" s="48">
        <f>PRODUCT(C29,E29)</f>
        <v>42090</v>
      </c>
      <c r="G29" s="49">
        <f t="shared" si="0"/>
        <v>505080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</row>
    <row r="30" spans="1:38" ht="13.5" thickBot="1">
      <c r="A30" s="15"/>
      <c r="B30" s="45" t="s">
        <v>16</v>
      </c>
      <c r="C30" s="46">
        <f>PRODUCT(C15,30)</f>
        <v>10350</v>
      </c>
      <c r="D30" s="46">
        <f>C30*12</f>
        <v>124200</v>
      </c>
      <c r="E30" s="84">
        <v>2.5</v>
      </c>
      <c r="F30" s="48">
        <f>PRODUCT(C30,E30)</f>
        <v>25875</v>
      </c>
      <c r="G30" s="49">
        <f t="shared" si="0"/>
        <v>310500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</row>
    <row r="31" spans="1:38" ht="13.5" thickBot="1">
      <c r="A31" s="15"/>
      <c r="B31" s="45" t="s">
        <v>15</v>
      </c>
      <c r="C31" s="46">
        <f>PRODUCT(C15,3.5)</f>
        <v>1207.5</v>
      </c>
      <c r="D31" s="46">
        <f>C31*12</f>
        <v>14490</v>
      </c>
      <c r="E31" s="84">
        <v>60</v>
      </c>
      <c r="F31" s="48">
        <f>PRODUCT(C31,E31)</f>
        <v>72450</v>
      </c>
      <c r="G31" s="49">
        <f t="shared" si="0"/>
        <v>869400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</row>
    <row r="32" spans="1:38" ht="13.5" thickBot="1">
      <c r="A32" s="15"/>
      <c r="B32" s="45" t="s">
        <v>14</v>
      </c>
      <c r="C32" s="46"/>
      <c r="D32" s="46"/>
      <c r="E32" s="47"/>
      <c r="F32" s="85">
        <f>PRODUCT(C15,37.5)</f>
        <v>12937.5</v>
      </c>
      <c r="G32" s="85">
        <f t="shared" si="0"/>
        <v>155250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</row>
    <row r="33" spans="1:38" ht="13.5" thickBot="1">
      <c r="A33" s="15"/>
      <c r="B33" s="45" t="s">
        <v>33</v>
      </c>
      <c r="C33" s="50">
        <f>D33/12</f>
        <v>0</v>
      </c>
      <c r="D33" s="46">
        <f>CEILING(PRODUCT((IF(C15&gt;=300,0,C15)),0.996),1)</f>
        <v>0</v>
      </c>
      <c r="E33" s="84">
        <v>1200</v>
      </c>
      <c r="F33" s="48">
        <f>PRODUCT(C33,E33)</f>
        <v>0</v>
      </c>
      <c r="G33" s="49">
        <f t="shared" si="0"/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</row>
    <row r="34" spans="1:38" ht="13.5" thickBot="1">
      <c r="A34" s="15"/>
      <c r="B34" s="51" t="s">
        <v>13</v>
      </c>
      <c r="C34" s="52"/>
      <c r="D34" s="53"/>
      <c r="E34" s="54"/>
      <c r="F34" s="87">
        <f>PRODUCT(C15,150)</f>
        <v>51750</v>
      </c>
      <c r="G34" s="86">
        <f t="shared" si="0"/>
        <v>621000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38" ht="18.75" customHeight="1" thickBot="1">
      <c r="A35" s="15"/>
      <c r="B35" s="36" t="s">
        <v>0</v>
      </c>
      <c r="C35" s="37"/>
      <c r="D35" s="37"/>
      <c r="E35" s="37"/>
      <c r="F35" s="57">
        <f>SUM(F27:F34)</f>
        <v>333960</v>
      </c>
      <c r="G35" s="58">
        <f t="shared" si="0"/>
        <v>4007520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ht="13.5" thickBot="1">
      <c r="A36" s="15"/>
      <c r="B36" s="38"/>
      <c r="C36" s="38"/>
      <c r="D36" s="38"/>
      <c r="E36" s="38"/>
      <c r="F36" s="38"/>
      <c r="G36" s="3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1:38" ht="18.75" thickBot="1">
      <c r="A37" s="15"/>
      <c r="B37" s="95" t="s">
        <v>12</v>
      </c>
      <c r="C37" s="96"/>
      <c r="D37" s="96"/>
      <c r="E37" s="96"/>
      <c r="F37" s="96"/>
      <c r="G37" s="9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</row>
    <row r="38" spans="1:38" ht="18.75" thickBot="1">
      <c r="A38" s="15"/>
      <c r="B38" s="93" t="s">
        <v>11</v>
      </c>
      <c r="C38" s="94" t="s">
        <v>10</v>
      </c>
      <c r="D38" s="141"/>
      <c r="E38" s="129" t="s">
        <v>9</v>
      </c>
      <c r="F38" s="94" t="s">
        <v>8</v>
      </c>
      <c r="G38" s="14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</row>
    <row r="39" spans="1:38" ht="18.75" thickBot="1">
      <c r="A39" s="15"/>
      <c r="B39" s="94"/>
      <c r="C39" s="42" t="s">
        <v>7</v>
      </c>
      <c r="D39" s="59" t="s">
        <v>6</v>
      </c>
      <c r="E39" s="130"/>
      <c r="F39" s="40" t="s">
        <v>7</v>
      </c>
      <c r="G39" s="43" t="s">
        <v>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</row>
    <row r="40" spans="1:38" ht="13.5" thickBot="1">
      <c r="A40" s="15"/>
      <c r="B40" s="60" t="s">
        <v>5</v>
      </c>
      <c r="C40" s="46">
        <f>PRODUCT(C15,9)</f>
        <v>3105</v>
      </c>
      <c r="D40" s="46">
        <f aca="true" t="shared" si="1" ref="D40:D45">C40*12</f>
        <v>37260</v>
      </c>
      <c r="E40" s="88">
        <v>150</v>
      </c>
      <c r="F40" s="62">
        <f aca="true" t="shared" si="2" ref="F40:F45">PRODUCT(C40,E40)</f>
        <v>465750</v>
      </c>
      <c r="G40" s="62">
        <f aca="true" t="shared" si="3" ref="G40:G46">F40*12</f>
        <v>5589000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</row>
    <row r="41" spans="1:38" ht="13.5" thickBot="1">
      <c r="A41" s="15"/>
      <c r="B41" s="60" t="s">
        <v>4</v>
      </c>
      <c r="C41" s="46">
        <f>PRODUCT(C15,0.6)</f>
        <v>207</v>
      </c>
      <c r="D41" s="46">
        <f t="shared" si="1"/>
        <v>2484</v>
      </c>
      <c r="E41" s="88">
        <v>170</v>
      </c>
      <c r="F41" s="62">
        <f t="shared" si="2"/>
        <v>35190</v>
      </c>
      <c r="G41" s="62">
        <f t="shared" si="3"/>
        <v>422280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</row>
    <row r="42" spans="1:38" ht="13.5" thickBot="1">
      <c r="A42" s="15"/>
      <c r="B42" s="63" t="s">
        <v>3</v>
      </c>
      <c r="C42" s="52">
        <f>PRODUCT(C15,4)</f>
        <v>1380</v>
      </c>
      <c r="D42" s="52">
        <f t="shared" si="1"/>
        <v>16560</v>
      </c>
      <c r="E42" s="89">
        <v>65</v>
      </c>
      <c r="F42" s="65">
        <f t="shared" si="2"/>
        <v>89700</v>
      </c>
      <c r="G42" s="65">
        <f t="shared" si="3"/>
        <v>1076400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ht="13.5" thickBot="1">
      <c r="A43" s="15"/>
      <c r="B43" s="60" t="s">
        <v>32</v>
      </c>
      <c r="C43" s="46">
        <f>FLOOR(IF(C15&gt;=300,C15,0)*0.25,1)</f>
        <v>86</v>
      </c>
      <c r="D43" s="46">
        <f t="shared" si="1"/>
        <v>1032</v>
      </c>
      <c r="E43" s="88">
        <v>1000</v>
      </c>
      <c r="F43" s="62">
        <f t="shared" si="2"/>
        <v>86000</v>
      </c>
      <c r="G43" s="62">
        <f t="shared" si="3"/>
        <v>1032000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  <row r="44" spans="1:38" ht="13.5" thickBot="1">
      <c r="A44" s="15"/>
      <c r="B44" s="60" t="s">
        <v>2</v>
      </c>
      <c r="C44" s="46">
        <f>PRODUCT(C15,25)</f>
        <v>8625</v>
      </c>
      <c r="D44" s="46">
        <f t="shared" si="1"/>
        <v>103500</v>
      </c>
      <c r="E44" s="88">
        <v>10</v>
      </c>
      <c r="F44" s="62">
        <f t="shared" si="2"/>
        <v>86250</v>
      </c>
      <c r="G44" s="62">
        <f t="shared" si="3"/>
        <v>1035000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</row>
    <row r="45" spans="1:38" ht="13.5" thickBot="1">
      <c r="A45" s="15"/>
      <c r="B45" s="66" t="s">
        <v>1</v>
      </c>
      <c r="C45" s="53">
        <f>PRODUCT(C15,0.8)</f>
        <v>276</v>
      </c>
      <c r="D45" s="53">
        <f t="shared" si="1"/>
        <v>3312</v>
      </c>
      <c r="E45" s="90">
        <v>40</v>
      </c>
      <c r="F45" s="68">
        <f t="shared" si="2"/>
        <v>11040</v>
      </c>
      <c r="G45" s="68">
        <f t="shared" si="3"/>
        <v>132480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</row>
    <row r="46" spans="1:38" ht="18.75" thickBot="1">
      <c r="A46" s="15"/>
      <c r="B46" s="69" t="s">
        <v>0</v>
      </c>
      <c r="C46" s="70"/>
      <c r="D46" s="70"/>
      <c r="E46" s="70"/>
      <c r="F46" s="71">
        <f>SUM(F40:F45)</f>
        <v>773930</v>
      </c>
      <c r="G46" s="72">
        <f t="shared" si="3"/>
        <v>9287160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1:3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</row>
    <row r="48" spans="1:38" ht="12.75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</row>
    <row r="49" spans="2:38" s="75" customFormat="1" ht="12.75">
      <c r="B49" s="76">
        <v>1</v>
      </c>
      <c r="C49" s="76">
        <v>2</v>
      </c>
      <c r="D49" s="76">
        <v>3</v>
      </c>
      <c r="E49" s="76">
        <v>4</v>
      </c>
      <c r="F49" s="76">
        <v>5</v>
      </c>
      <c r="G49" s="76">
        <v>6</v>
      </c>
      <c r="H49" s="76">
        <v>7</v>
      </c>
      <c r="I49" s="76">
        <v>8</v>
      </c>
      <c r="J49" s="76">
        <v>9</v>
      </c>
      <c r="K49" s="76">
        <v>10</v>
      </c>
      <c r="L49" s="76">
        <v>11</v>
      </c>
      <c r="M49" s="76">
        <v>12</v>
      </c>
      <c r="N49" s="76">
        <v>13</v>
      </c>
      <c r="O49" s="76">
        <v>14</v>
      </c>
      <c r="P49" s="76">
        <v>15</v>
      </c>
      <c r="Q49" s="76">
        <v>16</v>
      </c>
      <c r="R49" s="76">
        <v>17</v>
      </c>
      <c r="S49" s="76">
        <v>18</v>
      </c>
      <c r="T49" s="76">
        <v>19</v>
      </c>
      <c r="U49" s="76">
        <v>20</v>
      </c>
      <c r="V49" s="76">
        <v>21</v>
      </c>
      <c r="W49" s="76">
        <v>22</v>
      </c>
      <c r="X49" s="76">
        <v>23</v>
      </c>
      <c r="Y49" s="76">
        <v>24</v>
      </c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</row>
    <row r="50" spans="2:38" s="75" customFormat="1" ht="12.75">
      <c r="B50" s="76">
        <f>-E22-F35</f>
        <v>-4672460</v>
      </c>
      <c r="C50" s="76">
        <f>B50-F35</f>
        <v>-5006420</v>
      </c>
      <c r="D50" s="76">
        <f>C50-F35</f>
        <v>-5340380</v>
      </c>
      <c r="E50" s="76">
        <f>D50-F35</f>
        <v>-5674340</v>
      </c>
      <c r="F50" s="76">
        <f>E50+$E$51</f>
        <v>-5280805.8</v>
      </c>
      <c r="G50" s="76">
        <f>F50+$E$51</f>
        <v>-4887271.6</v>
      </c>
      <c r="H50" s="76">
        <f aca="true" t="shared" si="4" ref="H50:Y50">G50+$E$51</f>
        <v>-4493737.399999999</v>
      </c>
      <c r="I50" s="76">
        <f t="shared" si="4"/>
        <v>-4100203.1999999993</v>
      </c>
      <c r="J50" s="76">
        <f t="shared" si="4"/>
        <v>-3706668.999999999</v>
      </c>
      <c r="K50" s="76">
        <f t="shared" si="4"/>
        <v>-3313134.799999999</v>
      </c>
      <c r="L50" s="76">
        <f t="shared" si="4"/>
        <v>-2919600.5999999987</v>
      </c>
      <c r="M50" s="76">
        <f t="shared" si="4"/>
        <v>-2526066.3999999985</v>
      </c>
      <c r="N50" s="76">
        <f t="shared" si="4"/>
        <v>-2132532.1999999983</v>
      </c>
      <c r="O50" s="76">
        <f t="shared" si="4"/>
        <v>-1738997.9999999984</v>
      </c>
      <c r="P50" s="76">
        <f t="shared" si="4"/>
        <v>-1345463.7999999984</v>
      </c>
      <c r="Q50" s="76">
        <f t="shared" si="4"/>
        <v>-951929.5999999985</v>
      </c>
      <c r="R50" s="76">
        <f t="shared" si="4"/>
        <v>-558395.3999999985</v>
      </c>
      <c r="S50" s="76">
        <f t="shared" si="4"/>
        <v>-164861.19999999856</v>
      </c>
      <c r="T50" s="76">
        <f t="shared" si="4"/>
        <v>228673.0000000014</v>
      </c>
      <c r="U50" s="76">
        <f t="shared" si="4"/>
        <v>622207.2000000014</v>
      </c>
      <c r="V50" s="76">
        <f t="shared" si="4"/>
        <v>1015741.4000000013</v>
      </c>
      <c r="W50" s="76">
        <f t="shared" si="4"/>
        <v>1409275.6000000013</v>
      </c>
      <c r="X50" s="76">
        <f t="shared" si="4"/>
        <v>1802809.8000000012</v>
      </c>
      <c r="Y50" s="76">
        <f t="shared" si="4"/>
        <v>2196344.000000001</v>
      </c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</row>
    <row r="51" spans="1:38" ht="12.75">
      <c r="A51" s="1"/>
      <c r="B51" s="15"/>
      <c r="C51" s="15"/>
      <c r="D51" s="15"/>
      <c r="E51" s="77">
        <f>F46*0.94-F35</f>
        <v>393534.19999999995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</row>
    <row r="52" spans="1:38" ht="12.75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</row>
    <row r="53" spans="1:38" ht="12.75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</row>
    <row r="54" spans="1:38" ht="12.75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</row>
    <row r="55" spans="1:38" ht="12.75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</row>
    <row r="56" spans="1:38" ht="12.75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ht="12.75">
      <c r="A57" s="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</row>
    <row r="58" spans="1:38" ht="12.75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1:38" ht="12.75">
      <c r="A59" s="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1:38" ht="12.75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</row>
    <row r="61" spans="1:38" ht="12.75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2" spans="1:38" ht="12.75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</row>
    <row r="63" spans="1:38" ht="12.75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</row>
    <row r="64" spans="1:38" ht="12.75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1:38" ht="12.75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</row>
    <row r="66" spans="1:38" ht="12.75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</row>
    <row r="67" spans="1:38" ht="12.75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ht="12.75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1:38" ht="12.75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1:38" ht="12.7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</row>
    <row r="71" spans="1:38" ht="12.75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</row>
    <row r="72" spans="1:38" ht="12.75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1:38" ht="12.75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</row>
    <row r="74" spans="1:38" ht="12.75">
      <c r="A74" s="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1:38" ht="12.75">
      <c r="A75" s="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</row>
    <row r="76" spans="1:38" ht="12.75">
      <c r="A76" s="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</row>
    <row r="77" spans="1:38" ht="12.75">
      <c r="A77" s="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</row>
    <row r="78" spans="1:38" ht="12.75">
      <c r="A78" s="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</row>
    <row r="79" spans="1:38" ht="12.75">
      <c r="A79" s="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</row>
    <row r="80" spans="1:38" ht="12.75">
      <c r="A80" s="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ht="12.75">
      <c r="A81" s="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</row>
    <row r="82" spans="1:38" ht="12.75">
      <c r="A82" s="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ht="12.75">
      <c r="A83" s="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ht="12.75">
      <c r="A84" s="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pans="1:38" ht="12.75">
      <c r="A85" s="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</row>
    <row r="86" spans="1:38" ht="12.75">
      <c r="A86" s="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sheetProtection password="C761" sheet="1" objects="1" scenarios="1"/>
  <protectedRanges>
    <protectedRange sqref="E40:E45" name="Диапазон11"/>
    <protectedRange sqref="F34:G34" name="Диапазон10"/>
    <protectedRange sqref="E33" name="Диапазон9"/>
    <protectedRange sqref="F32:G32" name="Диапазон8"/>
    <protectedRange sqref="E27:E31" name="Диапазон7"/>
    <protectedRange sqref="E21" name="Диапазон6"/>
    <protectedRange sqref="D19" name="Диапазон5"/>
    <protectedRange sqref="C20:D20" name="Диапазон4"/>
    <protectedRange sqref="D16" name="Диапазон3"/>
    <protectedRange sqref="C15:D15" name="Диапазон2"/>
    <protectedRange sqref="E6" name="Диапазон1"/>
  </protectedRanges>
  <mergeCells count="26">
    <mergeCell ref="B37:G37"/>
    <mergeCell ref="B38:B39"/>
    <mergeCell ref="C38:D38"/>
    <mergeCell ref="E38:E39"/>
    <mergeCell ref="F38:G38"/>
    <mergeCell ref="B24:G24"/>
    <mergeCell ref="B25:B26"/>
    <mergeCell ref="C25:D25"/>
    <mergeCell ref="E25:E26"/>
    <mergeCell ref="F25:G25"/>
    <mergeCell ref="B2:G4"/>
    <mergeCell ref="B12:G12"/>
    <mergeCell ref="E13:G13"/>
    <mergeCell ref="E14:G14"/>
    <mergeCell ref="B6:D6"/>
    <mergeCell ref="E6:G6"/>
    <mergeCell ref="B7:G7"/>
    <mergeCell ref="D8:D9"/>
    <mergeCell ref="E15:G15"/>
    <mergeCell ref="E16:G16"/>
    <mergeCell ref="E17:G17"/>
    <mergeCell ref="E18:G18"/>
    <mergeCell ref="E19:G19"/>
    <mergeCell ref="E20:G20"/>
    <mergeCell ref="E21:G21"/>
    <mergeCell ref="E22:G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www.rabbit.ru</cp:lastModifiedBy>
  <dcterms:created xsi:type="dcterms:W3CDTF">2006-12-26T21:26:16Z</dcterms:created>
  <dcterms:modified xsi:type="dcterms:W3CDTF">2009-08-15T17:46:18Z</dcterms:modified>
  <cp:category/>
  <cp:version/>
  <cp:contentType/>
  <cp:contentStatus/>
</cp:coreProperties>
</file>